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sbeikler\Documents\"/>
    </mc:Choice>
  </mc:AlternateContent>
  <workbookProtection workbookAlgorithmName="SHA-512" workbookHashValue="qidegxxfFjz4Ytr5Ufq4Uizhl8aB+1JuRk21j2tv55bLfcTJoHtp6ImuvILQKVDr8rte4/z/djPiTi6vwkcCKw==" workbookSaltValue="J4PMwxqGaW2XYb1fwBV3eQ==" workbookSpinCount="100000" lockStructure="1"/>
  <bookViews>
    <workbookView xWindow="0" yWindow="0" windowWidth="21600" windowHeight="9750"/>
  </bookViews>
  <sheets>
    <sheet name="USV" sheetId="6" r:id="rId1"/>
    <sheet name="Hilfe" sheetId="12" r:id="rId2"/>
    <sheet name="Help" sheetId="15" r:id="rId3"/>
    <sheet name="Übersetzung" sheetId="13" state="hidden" r:id="rId4"/>
    <sheet name="Release Notes" sheetId="18" state="hidden" r:id="rId5"/>
    <sheet name="Berechnung" sheetId="9" state="hidden" r:id="rId6"/>
    <sheet name="NH00C-500V" sheetId="1" state="hidden" r:id="rId7"/>
    <sheet name="NH1-4a-500V" sheetId="2" state="hidden" r:id="rId8"/>
    <sheet name="NH00C-690V" sheetId="3" state="hidden" r:id="rId9"/>
    <sheet name="NH1-3-690V" sheetId="4" state="hidden" r:id="rId10"/>
    <sheet name="SE-500V" sheetId="7" state="hidden" r:id="rId11"/>
    <sheet name="SE-690V" sheetId="8" state="hidden" r:id="rId12"/>
    <sheet name="SE-DC700V" sheetId="16" state="hidden" r:id="rId13"/>
    <sheet name="SE-DC800V" sheetId="17" state="hidden" r:id="rId14"/>
    <sheet name="KETO" sheetId="11" state="hidden" r:id="rId15"/>
  </sheets>
  <definedNames>
    <definedName name="_xlnm.Print_Area" localSheetId="9">'NH1-3-690V'!$A$3:$Q$21</definedName>
    <definedName name="_xlnm.Print_Area" localSheetId="0">USV!$A$1:$P$41</definedName>
    <definedName name="Sprachen">Übersetzung!$1:$1</definedName>
  </definedNames>
  <calcPr calcId="162913"/>
</workbook>
</file>

<file path=xl/calcChain.xml><?xml version="1.0" encoding="utf-8"?>
<calcChain xmlns="http://schemas.openxmlformats.org/spreadsheetml/2006/main">
  <c r="J23" i="6" l="1"/>
  <c r="F9" i="6" l="1"/>
  <c r="H26" i="6" l="1"/>
  <c r="K22" i="6"/>
  <c r="H29" i="6"/>
  <c r="H30" i="6"/>
  <c r="A8" i="6" l="1"/>
  <c r="H24" i="6"/>
  <c r="L20" i="6"/>
  <c r="L24" i="6"/>
  <c r="L23" i="6"/>
  <c r="L22" i="6"/>
  <c r="O19" i="6"/>
  <c r="M19" i="6"/>
  <c r="L10" i="6"/>
  <c r="A29" i="4" l="1"/>
  <c r="A26" i="4"/>
  <c r="A29" i="3"/>
  <c r="A30" i="3" s="1"/>
  <c r="A26" i="3"/>
  <c r="A27" i="3" s="1"/>
  <c r="A29" i="2"/>
  <c r="A26" i="2"/>
  <c r="A29" i="1"/>
  <c r="A30" i="1" s="1"/>
  <c r="M29" i="1" s="1"/>
  <c r="M30" i="1" s="1"/>
  <c r="A26" i="1"/>
  <c r="A27" i="1" s="1"/>
  <c r="O26" i="1" s="1"/>
  <c r="O27" i="1" s="1"/>
  <c r="N10" i="6"/>
  <c r="H25" i="6"/>
  <c r="A2" i="9"/>
  <c r="A14" i="9" s="1"/>
  <c r="D32" i="6"/>
  <c r="D38" i="6"/>
  <c r="D33" i="6"/>
  <c r="L11" i="6"/>
  <c r="L12" i="6"/>
  <c r="H20" i="6"/>
  <c r="H19" i="6"/>
  <c r="A23" i="1"/>
  <c r="A23" i="3"/>
  <c r="A23" i="4"/>
  <c r="A23" i="2"/>
  <c r="A4" i="6"/>
  <c r="D6" i="6"/>
  <c r="F6" i="6"/>
  <c r="D7" i="6"/>
  <c r="F7" i="6"/>
  <c r="D8" i="6"/>
  <c r="F8" i="6"/>
  <c r="D9" i="6"/>
  <c r="D18" i="6"/>
  <c r="H17" i="6"/>
  <c r="D21" i="6"/>
  <c r="H21" i="6"/>
  <c r="D22" i="6"/>
  <c r="H22" i="6"/>
  <c r="D23" i="6"/>
  <c r="H23" i="6"/>
  <c r="A30" i="6"/>
  <c r="D30" i="6"/>
  <c r="P30" i="6"/>
  <c r="H31" i="6"/>
  <c r="J31" i="6"/>
  <c r="L31" i="6"/>
  <c r="N31" i="6"/>
  <c r="C32" i="6"/>
  <c r="G32" i="6"/>
  <c r="H32" i="6"/>
  <c r="I32" i="6"/>
  <c r="J32" i="6"/>
  <c r="K32" i="6"/>
  <c r="L32" i="6"/>
  <c r="M32" i="6"/>
  <c r="N32" i="6"/>
  <c r="O32" i="6"/>
  <c r="B33" i="6"/>
  <c r="B34" i="6"/>
  <c r="B35" i="6"/>
  <c r="B36" i="6"/>
  <c r="B37" i="6"/>
  <c r="B38" i="6"/>
  <c r="B39" i="6"/>
  <c r="B40" i="6"/>
  <c r="A27" i="4" l="1"/>
  <c r="L26" i="4" s="1"/>
  <c r="L27" i="4" s="1"/>
  <c r="W29" i="2"/>
  <c r="W30" i="2" s="1"/>
  <c r="A30" i="4"/>
  <c r="R29" i="4"/>
  <c r="R30" i="4" s="1"/>
  <c r="A24" i="2"/>
  <c r="D23" i="2" s="1"/>
  <c r="D24" i="2" s="1"/>
  <c r="B26" i="4"/>
  <c r="B27" i="4" s="1"/>
  <c r="A24" i="4"/>
  <c r="N23" i="4" s="1"/>
  <c r="N24" i="4" s="1"/>
  <c r="G26" i="4"/>
  <c r="G27" i="4" s="1"/>
  <c r="P26" i="4"/>
  <c r="P27" i="4" s="1"/>
  <c r="M23" i="6"/>
  <c r="B2" i="9" s="1"/>
  <c r="B14" i="9" s="1"/>
  <c r="O23" i="6"/>
  <c r="C2" i="9" s="1"/>
  <c r="C14" i="9" s="1"/>
  <c r="C26" i="4"/>
  <c r="C27" i="4" s="1"/>
  <c r="H26" i="4"/>
  <c r="H27" i="4" s="1"/>
  <c r="N26" i="4"/>
  <c r="N27" i="4" s="1"/>
  <c r="D26" i="4"/>
  <c r="D27" i="4" s="1"/>
  <c r="J26" i="4"/>
  <c r="J27" i="4" s="1"/>
  <c r="O26" i="4"/>
  <c r="O27" i="4" s="1"/>
  <c r="Q26" i="4"/>
  <c r="Q27" i="4" s="1"/>
  <c r="F26" i="4"/>
  <c r="F27" i="4" s="1"/>
  <c r="K26" i="4"/>
  <c r="K27" i="4" s="1"/>
  <c r="C29" i="4"/>
  <c r="C30" i="4" s="1"/>
  <c r="G29" i="4"/>
  <c r="G30" i="4" s="1"/>
  <c r="K29" i="4"/>
  <c r="K30" i="4" s="1"/>
  <c r="O29" i="4"/>
  <c r="O30" i="4" s="1"/>
  <c r="D29" i="4"/>
  <c r="D30" i="4" s="1"/>
  <c r="H29" i="4"/>
  <c r="H30" i="4" s="1"/>
  <c r="L29" i="4"/>
  <c r="L30" i="4" s="1"/>
  <c r="P29" i="4"/>
  <c r="P30" i="4" s="1"/>
  <c r="E29" i="4"/>
  <c r="E30" i="4" s="1"/>
  <c r="I29" i="4"/>
  <c r="I30" i="4" s="1"/>
  <c r="M29" i="4"/>
  <c r="M30" i="4" s="1"/>
  <c r="Q29" i="4"/>
  <c r="Q30" i="4" s="1"/>
  <c r="B29" i="4"/>
  <c r="B30" i="4" s="1"/>
  <c r="F29" i="4"/>
  <c r="F30" i="4" s="1"/>
  <c r="J29" i="4"/>
  <c r="J30" i="4" s="1"/>
  <c r="N29" i="4"/>
  <c r="N30" i="4" s="1"/>
  <c r="E26" i="4"/>
  <c r="E27" i="4" s="1"/>
  <c r="I26" i="4"/>
  <c r="I27" i="4" s="1"/>
  <c r="M26" i="4"/>
  <c r="M27" i="4" s="1"/>
  <c r="A24" i="3"/>
  <c r="K23" i="3" s="1"/>
  <c r="K24" i="3" s="1"/>
  <c r="E23" i="2"/>
  <c r="E24" i="2" s="1"/>
  <c r="A24" i="1"/>
  <c r="F23" i="1" s="1"/>
  <c r="F24" i="1" s="1"/>
  <c r="C29" i="3"/>
  <c r="C30" i="3" s="1"/>
  <c r="G29" i="3"/>
  <c r="G30" i="3" s="1"/>
  <c r="K29" i="3"/>
  <c r="K30" i="3" s="1"/>
  <c r="D29" i="3"/>
  <c r="D30" i="3" s="1"/>
  <c r="H29" i="3"/>
  <c r="H30" i="3" s="1"/>
  <c r="L29" i="3"/>
  <c r="L30" i="3" s="1"/>
  <c r="E29" i="3"/>
  <c r="E30" i="3" s="1"/>
  <c r="I29" i="3"/>
  <c r="I30" i="3" s="1"/>
  <c r="M29" i="3"/>
  <c r="M30" i="3" s="1"/>
  <c r="B29" i="3"/>
  <c r="B30" i="3" s="1"/>
  <c r="F29" i="3"/>
  <c r="F30" i="3" s="1"/>
  <c r="J29" i="3"/>
  <c r="J30" i="3" s="1"/>
  <c r="C26" i="3"/>
  <c r="C27" i="3" s="1"/>
  <c r="G26" i="3"/>
  <c r="G27" i="3" s="1"/>
  <c r="K26" i="3"/>
  <c r="K27" i="3" s="1"/>
  <c r="D26" i="3"/>
  <c r="D27" i="3" s="1"/>
  <c r="H26" i="3"/>
  <c r="H27" i="3" s="1"/>
  <c r="L26" i="3"/>
  <c r="L27" i="3" s="1"/>
  <c r="E26" i="3"/>
  <c r="E27" i="3" s="1"/>
  <c r="I26" i="3"/>
  <c r="I27" i="3" s="1"/>
  <c r="M26" i="3"/>
  <c r="M27" i="3" s="1"/>
  <c r="B26" i="3"/>
  <c r="B27" i="3" s="1"/>
  <c r="F26" i="3"/>
  <c r="F27" i="3" s="1"/>
  <c r="J26" i="3"/>
  <c r="J27" i="3" s="1"/>
  <c r="H23" i="2"/>
  <c r="H24" i="2" s="1"/>
  <c r="O23" i="2"/>
  <c r="O24" i="2" s="1"/>
  <c r="G23" i="2"/>
  <c r="G24" i="2" s="1"/>
  <c r="P23" i="2"/>
  <c r="P24" i="2" s="1"/>
  <c r="V23" i="2"/>
  <c r="V24" i="2" s="1"/>
  <c r="N23" i="2"/>
  <c r="N24" i="2" s="1"/>
  <c r="M23" i="2"/>
  <c r="M24" i="2" s="1"/>
  <c r="A30" i="2"/>
  <c r="C29" i="2" s="1"/>
  <c r="C30" i="2" s="1"/>
  <c r="A27" i="2"/>
  <c r="T26" i="2" s="1"/>
  <c r="T27" i="2" s="1"/>
  <c r="L26" i="1"/>
  <c r="L27" i="1" s="1"/>
  <c r="C29" i="1"/>
  <c r="C30" i="1" s="1"/>
  <c r="H26" i="1"/>
  <c r="H27" i="1" s="1"/>
  <c r="D26" i="1"/>
  <c r="D27" i="1" s="1"/>
  <c r="K29" i="1"/>
  <c r="K30" i="1" s="1"/>
  <c r="N29" i="1"/>
  <c r="N30" i="1" s="1"/>
  <c r="B29" i="1"/>
  <c r="B30" i="1" s="1"/>
  <c r="J29" i="1"/>
  <c r="J30" i="1" s="1"/>
  <c r="F29" i="1"/>
  <c r="F30" i="1" s="1"/>
  <c r="G29" i="1"/>
  <c r="G30" i="1" s="1"/>
  <c r="O29" i="1"/>
  <c r="O30" i="1" s="1"/>
  <c r="I26" i="1"/>
  <c r="I27" i="1" s="1"/>
  <c r="M26" i="1"/>
  <c r="M27" i="1" s="1"/>
  <c r="B26" i="1"/>
  <c r="B27" i="1" s="1"/>
  <c r="F26" i="1"/>
  <c r="F27" i="1" s="1"/>
  <c r="J26" i="1"/>
  <c r="J27" i="1" s="1"/>
  <c r="N26" i="1"/>
  <c r="N27" i="1" s="1"/>
  <c r="D29" i="1"/>
  <c r="D30" i="1" s="1"/>
  <c r="H29" i="1"/>
  <c r="H30" i="1" s="1"/>
  <c r="L29" i="1"/>
  <c r="L30" i="1" s="1"/>
  <c r="E26" i="1"/>
  <c r="E27" i="1" s="1"/>
  <c r="C26" i="1"/>
  <c r="C27" i="1" s="1"/>
  <c r="G26" i="1"/>
  <c r="G27" i="1" s="1"/>
  <c r="K26" i="1"/>
  <c r="K27" i="1" s="1"/>
  <c r="E29" i="1"/>
  <c r="E30" i="1" s="1"/>
  <c r="I29" i="1"/>
  <c r="I30" i="1" s="1"/>
  <c r="R23" i="2" l="1"/>
  <c r="R24" i="2" s="1"/>
  <c r="T23" i="2"/>
  <c r="T24" i="2" s="1"/>
  <c r="C23" i="2"/>
  <c r="C24" i="2" s="1"/>
  <c r="K23" i="2"/>
  <c r="K24" i="2" s="1"/>
  <c r="S23" i="2"/>
  <c r="S24" i="2" s="1"/>
  <c r="I23" i="2"/>
  <c r="I24" i="2" s="1"/>
  <c r="B23" i="2"/>
  <c r="B24" i="2" s="1"/>
  <c r="N6" i="9" s="1"/>
  <c r="W23" i="2"/>
  <c r="W24" i="2" s="1"/>
  <c r="Q23" i="2"/>
  <c r="Q24" i="2" s="1"/>
  <c r="L23" i="2"/>
  <c r="L24" i="2" s="1"/>
  <c r="U23" i="2"/>
  <c r="U24" i="2" s="1"/>
  <c r="F23" i="2"/>
  <c r="F24" i="2" s="1"/>
  <c r="J23" i="2"/>
  <c r="J24" i="2" s="1"/>
  <c r="O23" i="4"/>
  <c r="O24" i="4" s="1"/>
  <c r="R26" i="4"/>
  <c r="R27" i="4" s="1"/>
  <c r="I20" i="9" s="1"/>
  <c r="R23" i="4"/>
  <c r="R24" i="4" s="1"/>
  <c r="W26" i="2"/>
  <c r="W27" i="2" s="1"/>
  <c r="B23" i="3"/>
  <c r="B24" i="3" s="1"/>
  <c r="J20" i="9"/>
  <c r="J19" i="9"/>
  <c r="J18" i="9"/>
  <c r="J9" i="9"/>
  <c r="J8" i="9"/>
  <c r="J7" i="9"/>
  <c r="M23" i="4"/>
  <c r="M24" i="4" s="1"/>
  <c r="H23" i="4"/>
  <c r="H24" i="4" s="1"/>
  <c r="Q23" i="4"/>
  <c r="Q24" i="4" s="1"/>
  <c r="J23" i="4"/>
  <c r="J24" i="4" s="1"/>
  <c r="B23" i="4"/>
  <c r="B24" i="4" s="1"/>
  <c r="L23" i="4"/>
  <c r="L24" i="4" s="1"/>
  <c r="E23" i="4"/>
  <c r="E24" i="4" s="1"/>
  <c r="C23" i="4"/>
  <c r="C24" i="4" s="1"/>
  <c r="K23" i="4"/>
  <c r="K24" i="4" s="1"/>
  <c r="P23" i="4"/>
  <c r="P24" i="4" s="1"/>
  <c r="I23" i="4"/>
  <c r="I24" i="4" s="1"/>
  <c r="G23" i="4"/>
  <c r="G24" i="4" s="1"/>
  <c r="F23" i="4"/>
  <c r="F24" i="4" s="1"/>
  <c r="D23" i="4"/>
  <c r="D24" i="4" s="1"/>
  <c r="V19" i="9"/>
  <c r="V20" i="9"/>
  <c r="V18" i="9"/>
  <c r="U18" i="9"/>
  <c r="U20" i="9"/>
  <c r="U19" i="9"/>
  <c r="P19" i="9"/>
  <c r="P20" i="9"/>
  <c r="P18" i="9"/>
  <c r="O18" i="9"/>
  <c r="O20" i="9"/>
  <c r="O19" i="9"/>
  <c r="D19" i="9"/>
  <c r="D20" i="9"/>
  <c r="D9" i="9"/>
  <c r="D18" i="9"/>
  <c r="D6" i="9"/>
  <c r="D17" i="9"/>
  <c r="C19" i="9"/>
  <c r="C20" i="9"/>
  <c r="C9" i="9"/>
  <c r="C18" i="9"/>
  <c r="C6" i="9"/>
  <c r="C17" i="9"/>
  <c r="U9" i="9"/>
  <c r="V9" i="9"/>
  <c r="V8" i="9"/>
  <c r="U8" i="9"/>
  <c r="V7" i="9"/>
  <c r="U7" i="9"/>
  <c r="O7" i="9"/>
  <c r="P8" i="9"/>
  <c r="P9" i="9"/>
  <c r="P7" i="9"/>
  <c r="O9" i="9"/>
  <c r="O8" i="9"/>
  <c r="D7" i="9"/>
  <c r="D8" i="9"/>
  <c r="C7" i="9"/>
  <c r="C8" i="9"/>
  <c r="M23" i="3"/>
  <c r="M24" i="3" s="1"/>
  <c r="C23" i="3"/>
  <c r="C24" i="3" s="1"/>
  <c r="J23" i="3"/>
  <c r="J24" i="3" s="1"/>
  <c r="I23" i="3"/>
  <c r="I24" i="3" s="1"/>
  <c r="F23" i="3"/>
  <c r="F24" i="3" s="1"/>
  <c r="G23" i="3"/>
  <c r="G24" i="3" s="1"/>
  <c r="H26" i="2"/>
  <c r="H27" i="2" s="1"/>
  <c r="P29" i="2"/>
  <c r="P30" i="2" s="1"/>
  <c r="K29" i="2"/>
  <c r="K30" i="2" s="1"/>
  <c r="K23" i="1"/>
  <c r="K24" i="1" s="1"/>
  <c r="H23" i="1"/>
  <c r="H24" i="1" s="1"/>
  <c r="E23" i="1"/>
  <c r="E24" i="1" s="1"/>
  <c r="J23" i="1"/>
  <c r="J24" i="1" s="1"/>
  <c r="E26" i="2"/>
  <c r="E27" i="2" s="1"/>
  <c r="L29" i="2"/>
  <c r="L30" i="2" s="1"/>
  <c r="F29" i="2"/>
  <c r="F30" i="2" s="1"/>
  <c r="O23" i="1"/>
  <c r="O24" i="1" s="1"/>
  <c r="L23" i="1"/>
  <c r="L24" i="1" s="1"/>
  <c r="I23" i="1"/>
  <c r="I24" i="1" s="1"/>
  <c r="N23" i="1"/>
  <c r="N24" i="1" s="1"/>
  <c r="B23" i="1"/>
  <c r="B24" i="1" s="1"/>
  <c r="M23" i="1"/>
  <c r="M24" i="1" s="1"/>
  <c r="C23" i="1"/>
  <c r="C24" i="1" s="1"/>
  <c r="K26" i="2"/>
  <c r="K27" i="2" s="1"/>
  <c r="S29" i="2"/>
  <c r="S30" i="2" s="1"/>
  <c r="G23" i="1"/>
  <c r="G24" i="1" s="1"/>
  <c r="D23" i="1"/>
  <c r="D24" i="1" s="1"/>
  <c r="D23" i="3"/>
  <c r="D24" i="3" s="1"/>
  <c r="H23" i="3"/>
  <c r="H24" i="3" s="1"/>
  <c r="L23" i="3"/>
  <c r="L24" i="3" s="1"/>
  <c r="E23" i="3"/>
  <c r="E24" i="3" s="1"/>
  <c r="U29" i="2"/>
  <c r="U30" i="2" s="1"/>
  <c r="D29" i="2"/>
  <c r="D30" i="2" s="1"/>
  <c r="V29" i="2"/>
  <c r="V30" i="2" s="1"/>
  <c r="M29" i="2"/>
  <c r="M30" i="2" s="1"/>
  <c r="N29" i="2"/>
  <c r="N30" i="2" s="1"/>
  <c r="E29" i="2"/>
  <c r="E30" i="2" s="1"/>
  <c r="F26" i="2"/>
  <c r="F27" i="2" s="1"/>
  <c r="J26" i="2"/>
  <c r="J27" i="2" s="1"/>
  <c r="H29" i="2"/>
  <c r="H30" i="2" s="1"/>
  <c r="O29" i="2"/>
  <c r="O30" i="2" s="1"/>
  <c r="R29" i="2"/>
  <c r="R30" i="2" s="1"/>
  <c r="B29" i="2"/>
  <c r="B30" i="2" s="1"/>
  <c r="I29" i="2"/>
  <c r="I30" i="2" s="1"/>
  <c r="G29" i="2"/>
  <c r="G30" i="2" s="1"/>
  <c r="J29" i="2"/>
  <c r="J30" i="2" s="1"/>
  <c r="Q29" i="2"/>
  <c r="Q30" i="2" s="1"/>
  <c r="T29" i="2"/>
  <c r="T30" i="2" s="1"/>
  <c r="D26" i="2"/>
  <c r="D27" i="2" s="1"/>
  <c r="U26" i="2"/>
  <c r="U27" i="2" s="1"/>
  <c r="G26" i="2"/>
  <c r="G27" i="2" s="1"/>
  <c r="P26" i="2"/>
  <c r="P27" i="2" s="1"/>
  <c r="V26" i="2"/>
  <c r="V27" i="2" s="1"/>
  <c r="M26" i="2"/>
  <c r="M27" i="2" s="1"/>
  <c r="S26" i="2"/>
  <c r="S27" i="2" s="1"/>
  <c r="C26" i="2"/>
  <c r="C27" i="2" s="1"/>
  <c r="Q26" i="2"/>
  <c r="Q27" i="2" s="1"/>
  <c r="B26" i="2"/>
  <c r="B27" i="2" s="1"/>
  <c r="L26" i="2"/>
  <c r="L27" i="2" s="1"/>
  <c r="N26" i="2"/>
  <c r="N27" i="2" s="1"/>
  <c r="I26" i="2"/>
  <c r="I27" i="2" s="1"/>
  <c r="O26" i="2"/>
  <c r="O27" i="2" s="1"/>
  <c r="R26" i="2"/>
  <c r="R27" i="2" s="1"/>
  <c r="T17" i="9" l="1"/>
  <c r="Z6" i="9"/>
  <c r="AD6" i="9" s="1"/>
  <c r="T6" i="9"/>
  <c r="I7" i="9"/>
  <c r="I8" i="9"/>
  <c r="H6" i="9"/>
  <c r="Z17" i="9"/>
  <c r="H17" i="9"/>
  <c r="N17" i="9"/>
  <c r="I9" i="9"/>
  <c r="I19" i="9"/>
  <c r="I18" i="9"/>
  <c r="J6" i="9"/>
  <c r="I6" i="9"/>
  <c r="H20" i="9"/>
  <c r="K20" i="9" s="1"/>
  <c r="H19" i="9"/>
  <c r="K19" i="9" s="1"/>
  <c r="H18" i="9"/>
  <c r="H9" i="9"/>
  <c r="H8" i="9"/>
  <c r="H7" i="9"/>
  <c r="T19" i="9"/>
  <c r="W19" i="9" s="1"/>
  <c r="T20" i="9"/>
  <c r="W20" i="9" s="1"/>
  <c r="N19" i="9"/>
  <c r="Q19" i="9" s="1"/>
  <c r="T7" i="9"/>
  <c r="W7" i="9" s="1"/>
  <c r="T8" i="9"/>
  <c r="W8" i="9" s="1"/>
  <c r="T9" i="9"/>
  <c r="W9" i="9" s="1"/>
  <c r="N9" i="9"/>
  <c r="Q9" i="9" s="1"/>
  <c r="N8" i="9"/>
  <c r="Q8" i="9" s="1"/>
  <c r="N7" i="9"/>
  <c r="Q7" i="9" s="1"/>
  <c r="N18" i="9"/>
  <c r="Q18" i="9" s="1"/>
  <c r="N20" i="9"/>
  <c r="Q20" i="9" s="1"/>
  <c r="T18" i="9"/>
  <c r="W18" i="9" s="1"/>
  <c r="AB17" i="9"/>
  <c r="AA17" i="9"/>
  <c r="U17" i="9"/>
  <c r="V17" i="9"/>
  <c r="P17" i="9"/>
  <c r="O17" i="9"/>
  <c r="J17" i="9"/>
  <c r="I17" i="9"/>
  <c r="B17" i="9"/>
  <c r="B18" i="9"/>
  <c r="E18" i="9" s="1"/>
  <c r="B19" i="9"/>
  <c r="E19" i="9" s="1"/>
  <c r="B20" i="9"/>
  <c r="E20" i="9" s="1"/>
  <c r="F20" i="9" s="1"/>
  <c r="AB6" i="9"/>
  <c r="AA6" i="9"/>
  <c r="V6" i="9"/>
  <c r="U6" i="9"/>
  <c r="P6" i="9"/>
  <c r="O6" i="9"/>
  <c r="B6" i="9"/>
  <c r="E6" i="9" s="1"/>
  <c r="B9" i="9"/>
  <c r="E9" i="9" s="1"/>
  <c r="B7" i="9"/>
  <c r="B8" i="9"/>
  <c r="AE6" i="9"/>
  <c r="E37" i="6" s="1"/>
  <c r="G37" i="6" s="1"/>
  <c r="K8" i="9" l="1"/>
  <c r="K7" i="9"/>
  <c r="K9" i="9"/>
  <c r="M9" i="9" s="1"/>
  <c r="M37" i="6"/>
  <c r="H37" i="6"/>
  <c r="I37" i="6"/>
  <c r="L37" i="6"/>
  <c r="P37" i="6"/>
  <c r="J37" i="6"/>
  <c r="K37" i="6"/>
  <c r="K18" i="9"/>
  <c r="L18" i="9" s="1"/>
  <c r="AC17" i="9"/>
  <c r="AD17" i="9" s="1"/>
  <c r="X20" i="9"/>
  <c r="Y20" i="9"/>
  <c r="X19" i="9"/>
  <c r="Y19" i="9"/>
  <c r="W17" i="9"/>
  <c r="X17" i="9" s="1"/>
  <c r="X18" i="9"/>
  <c r="Y18" i="9"/>
  <c r="R20" i="9"/>
  <c r="S20" i="9"/>
  <c r="R19" i="9"/>
  <c r="S19" i="9"/>
  <c r="R18" i="9"/>
  <c r="S18" i="9"/>
  <c r="Q17" i="9"/>
  <c r="L20" i="9"/>
  <c r="M20" i="9"/>
  <c r="L19" i="9"/>
  <c r="M19" i="9"/>
  <c r="M18" i="9"/>
  <c r="G20" i="9"/>
  <c r="F19" i="9"/>
  <c r="G19" i="9"/>
  <c r="F18" i="9"/>
  <c r="G18" i="9"/>
  <c r="K17" i="9"/>
  <c r="F38" i="6" s="1"/>
  <c r="E17" i="9"/>
  <c r="X9" i="9"/>
  <c r="Y9" i="9"/>
  <c r="X8" i="9"/>
  <c r="Y8" i="9"/>
  <c r="X7" i="9"/>
  <c r="Y7" i="9"/>
  <c r="W6" i="9"/>
  <c r="R9" i="9"/>
  <c r="S9" i="9"/>
  <c r="R8" i="9"/>
  <c r="S8" i="9"/>
  <c r="R7" i="9"/>
  <c r="S7" i="9"/>
  <c r="Q6" i="9"/>
  <c r="S6" i="9" s="1"/>
  <c r="L9" i="9"/>
  <c r="L8" i="9"/>
  <c r="M8" i="9"/>
  <c r="L7" i="9"/>
  <c r="M7" i="9"/>
  <c r="F9" i="9"/>
  <c r="G9" i="9"/>
  <c r="F6" i="9"/>
  <c r="G6" i="9"/>
  <c r="K6" i="9"/>
  <c r="F34" i="6" s="1"/>
  <c r="E8" i="9"/>
  <c r="E7" i="9"/>
  <c r="F33" i="6" l="1"/>
  <c r="L17" i="9"/>
  <c r="AE17" i="9"/>
  <c r="E40" i="6" s="1"/>
  <c r="G40" i="6" s="1"/>
  <c r="Y17" i="9"/>
  <c r="E39" i="6" s="1"/>
  <c r="G39" i="6" s="1"/>
  <c r="R17" i="9"/>
  <c r="S17" i="9"/>
  <c r="M17" i="9"/>
  <c r="F17" i="9"/>
  <c r="G17" i="9"/>
  <c r="X6" i="9"/>
  <c r="Y6" i="9"/>
  <c r="R6" i="9"/>
  <c r="E35" i="6" s="1"/>
  <c r="G35" i="6" s="1"/>
  <c r="L6" i="9"/>
  <c r="M6" i="9"/>
  <c r="F8" i="9"/>
  <c r="G8" i="9"/>
  <c r="F7" i="9"/>
  <c r="G7" i="9"/>
  <c r="P40" i="6" l="1"/>
  <c r="K40" i="6"/>
  <c r="J40" i="6"/>
  <c r="N40" i="6"/>
  <c r="O40" i="6"/>
  <c r="K39" i="6"/>
  <c r="P39" i="6"/>
  <c r="O39" i="6"/>
  <c r="N39" i="6"/>
  <c r="J39" i="6"/>
  <c r="M35" i="6"/>
  <c r="P35" i="6"/>
  <c r="H35" i="6"/>
  <c r="L35" i="6"/>
  <c r="K35" i="6"/>
  <c r="I35" i="6"/>
  <c r="J35" i="6"/>
  <c r="E36" i="6"/>
  <c r="G36" i="6" s="1"/>
  <c r="E34" i="6"/>
  <c r="G34" i="6" s="1"/>
  <c r="E38" i="6"/>
  <c r="G38" i="6" s="1"/>
  <c r="E33" i="6"/>
  <c r="G33" i="6" s="1"/>
  <c r="H34" i="6" l="1"/>
  <c r="J34" i="6"/>
  <c r="M34" i="6"/>
  <c r="I34" i="6"/>
  <c r="L34" i="6"/>
  <c r="K34" i="6"/>
  <c r="P34" i="6"/>
  <c r="M33" i="6"/>
  <c r="P33" i="6"/>
  <c r="H33" i="6"/>
  <c r="L33" i="6"/>
  <c r="K33" i="6"/>
  <c r="J33" i="6"/>
  <c r="I33" i="6"/>
  <c r="J38" i="6"/>
  <c r="N38" i="6"/>
  <c r="O38" i="6"/>
  <c r="P38" i="6"/>
  <c r="K38" i="6"/>
  <c r="H36" i="6"/>
  <c r="L36" i="6"/>
  <c r="P36" i="6"/>
  <c r="J36" i="6"/>
  <c r="K36" i="6"/>
  <c r="M36" i="6"/>
  <c r="I36" i="6"/>
</calcChain>
</file>

<file path=xl/sharedStrings.xml><?xml version="1.0" encoding="utf-8"?>
<sst xmlns="http://schemas.openxmlformats.org/spreadsheetml/2006/main" count="1585" uniqueCount="449">
  <si>
    <t>NH00C/500V-uf2</t>
  </si>
  <si>
    <t>(s)</t>
  </si>
  <si>
    <t>NH1-3/500V-uf2</t>
  </si>
  <si>
    <t>NH00C/690V-uf2</t>
  </si>
  <si>
    <t>NH1-3/690V-uf2</t>
  </si>
  <si>
    <t>Zwischenkreisspannung</t>
  </si>
  <si>
    <t>Entladeschlussspannung</t>
  </si>
  <si>
    <t>Überbrückungszeit</t>
  </si>
  <si>
    <t>min</t>
  </si>
  <si>
    <t>Absicherung Batteriestromkreis von USV-Anlagen</t>
  </si>
  <si>
    <t>V</t>
  </si>
  <si>
    <t>max. Entladestrom</t>
  </si>
  <si>
    <t>A</t>
  </si>
  <si>
    <t>kVA</t>
  </si>
  <si>
    <t>cos phi</t>
  </si>
  <si>
    <t>Baugröße</t>
  </si>
  <si>
    <t>1-polig</t>
  </si>
  <si>
    <t>2-polig</t>
  </si>
  <si>
    <t>Bemessungsstrom_A</t>
  </si>
  <si>
    <t>R5211450</t>
  </si>
  <si>
    <t>NH000</t>
  </si>
  <si>
    <t>Anzeiger oben</t>
  </si>
  <si>
    <t>R5211750</t>
  </si>
  <si>
    <t>R5212250</t>
  </si>
  <si>
    <t>R5212450</t>
  </si>
  <si>
    <t>R5212650</t>
  </si>
  <si>
    <t>R5212950</t>
  </si>
  <si>
    <t>R5213150</t>
  </si>
  <si>
    <t>R5213450</t>
  </si>
  <si>
    <t>R5213550</t>
  </si>
  <si>
    <t>R5213850</t>
  </si>
  <si>
    <t>R5214150</t>
  </si>
  <si>
    <t>R5214350</t>
  </si>
  <si>
    <t>R5214650</t>
  </si>
  <si>
    <t>R5214950</t>
  </si>
  <si>
    <t>R1213800</t>
  </si>
  <si>
    <t>NH1</t>
  </si>
  <si>
    <t>R1214100</t>
  </si>
  <si>
    <t>R1214300</t>
  </si>
  <si>
    <t>R1214600</t>
  </si>
  <si>
    <t>R1214900</t>
  </si>
  <si>
    <t>R1215200</t>
  </si>
  <si>
    <t>R1215300</t>
  </si>
  <si>
    <t>R1215600</t>
  </si>
  <si>
    <t>R2214600</t>
  </si>
  <si>
    <t>NH2</t>
  </si>
  <si>
    <t>R2214900</t>
  </si>
  <si>
    <t>R2215200</t>
  </si>
  <si>
    <t>R2215300</t>
  </si>
  <si>
    <t>R2215600</t>
  </si>
  <si>
    <t>R2215900</t>
  </si>
  <si>
    <t>R2216000</t>
  </si>
  <si>
    <t>R2216200</t>
  </si>
  <si>
    <t>R3215600</t>
  </si>
  <si>
    <t>NH3</t>
  </si>
  <si>
    <t>R3215900</t>
  </si>
  <si>
    <t>R3216000</t>
  </si>
  <si>
    <t>R3216200</t>
  </si>
  <si>
    <t>R3216300</t>
  </si>
  <si>
    <t>R3216600</t>
  </si>
  <si>
    <t>R3216900</t>
  </si>
  <si>
    <t>R4217200</t>
  </si>
  <si>
    <t>NH4a</t>
  </si>
  <si>
    <t>R4217600</t>
  </si>
  <si>
    <t>R4217900</t>
  </si>
  <si>
    <t>R4218200</t>
  </si>
  <si>
    <t>R5211413</t>
  </si>
  <si>
    <t>Kraftmelder</t>
  </si>
  <si>
    <t>R5211713</t>
  </si>
  <si>
    <t>R5212213</t>
  </si>
  <si>
    <t>R5212413</t>
  </si>
  <si>
    <t>R5212613</t>
  </si>
  <si>
    <t>R5212913</t>
  </si>
  <si>
    <t>R5213113</t>
  </si>
  <si>
    <t>R5213413</t>
  </si>
  <si>
    <t>R5213513</t>
  </si>
  <si>
    <t>R5213813</t>
  </si>
  <si>
    <t>R5214113</t>
  </si>
  <si>
    <t>R5214313</t>
  </si>
  <si>
    <t>R5214613</t>
  </si>
  <si>
    <t>R5214913</t>
  </si>
  <si>
    <t>R1213804</t>
  </si>
  <si>
    <t>R1214104</t>
  </si>
  <si>
    <t>R1214304</t>
  </si>
  <si>
    <t>R1214604</t>
  </si>
  <si>
    <t>R1214904</t>
  </si>
  <si>
    <t>R1215204</t>
  </si>
  <si>
    <t>R1215304</t>
  </si>
  <si>
    <t>R1215604</t>
  </si>
  <si>
    <t>R2214604</t>
  </si>
  <si>
    <t>R2214904</t>
  </si>
  <si>
    <t>R2215204</t>
  </si>
  <si>
    <t>R2215304</t>
  </si>
  <si>
    <t>R2215604</t>
  </si>
  <si>
    <t>R2215904</t>
  </si>
  <si>
    <t>R2216004</t>
  </si>
  <si>
    <t>R2216204</t>
  </si>
  <si>
    <t>R3215604</t>
  </si>
  <si>
    <t>R3215904</t>
  </si>
  <si>
    <t>R3216004</t>
  </si>
  <si>
    <t>R3216204</t>
  </si>
  <si>
    <t>R3216304</t>
  </si>
  <si>
    <t>R3216604</t>
  </si>
  <si>
    <t>R3216904</t>
  </si>
  <si>
    <t>R4217204</t>
  </si>
  <si>
    <t>R4217604</t>
  </si>
  <si>
    <t>R4217904</t>
  </si>
  <si>
    <t>R4218204</t>
  </si>
  <si>
    <t>R5282250</t>
  </si>
  <si>
    <t>R5282450</t>
  </si>
  <si>
    <t>R5282650</t>
  </si>
  <si>
    <t>R5282950</t>
  </si>
  <si>
    <t>R5283150</t>
  </si>
  <si>
    <t>R5283450</t>
  </si>
  <si>
    <t>R5283550</t>
  </si>
  <si>
    <t>R5283850</t>
  </si>
  <si>
    <t>R5284150</t>
  </si>
  <si>
    <t>R5284350</t>
  </si>
  <si>
    <t>R5284650</t>
  </si>
  <si>
    <t>R5284950</t>
  </si>
  <si>
    <t>R1283100</t>
  </si>
  <si>
    <t>R1283400</t>
  </si>
  <si>
    <t>R1283500</t>
  </si>
  <si>
    <t>R1283800</t>
  </si>
  <si>
    <t>R1284100</t>
  </si>
  <si>
    <t>R1284300</t>
  </si>
  <si>
    <t>R1284600</t>
  </si>
  <si>
    <t>R1284900</t>
  </si>
  <si>
    <t>R1285200</t>
  </si>
  <si>
    <t>R1285300</t>
  </si>
  <si>
    <t>R1285600</t>
  </si>
  <si>
    <t>R2284600</t>
  </si>
  <si>
    <t>R2284900</t>
  </si>
  <si>
    <t>R2285200</t>
  </si>
  <si>
    <t>R2285300</t>
  </si>
  <si>
    <t>R2285600</t>
  </si>
  <si>
    <t>R2285900</t>
  </si>
  <si>
    <t>R2286000</t>
  </si>
  <si>
    <t>R2286200</t>
  </si>
  <si>
    <t>R3285600</t>
  </si>
  <si>
    <t>R3285900</t>
  </si>
  <si>
    <t>R3286000</t>
  </si>
  <si>
    <t>R3286200</t>
  </si>
  <si>
    <t>R3286300</t>
  </si>
  <si>
    <t>R3286600</t>
  </si>
  <si>
    <t>R3286900</t>
  </si>
  <si>
    <t>R5282213</t>
  </si>
  <si>
    <t>R5282413</t>
  </si>
  <si>
    <t>R5282613</t>
  </si>
  <si>
    <t>R5282913</t>
  </si>
  <si>
    <t>R5283113</t>
  </si>
  <si>
    <t>R5283413</t>
  </si>
  <si>
    <t>R5283513</t>
  </si>
  <si>
    <t>R5283813</t>
  </si>
  <si>
    <t>R5284113</t>
  </si>
  <si>
    <t>R5284313</t>
  </si>
  <si>
    <t>R5284613</t>
  </si>
  <si>
    <t>R5284913</t>
  </si>
  <si>
    <t>R1283104</t>
  </si>
  <si>
    <t>R1283404</t>
  </si>
  <si>
    <t>R1283504</t>
  </si>
  <si>
    <t>R1283804</t>
  </si>
  <si>
    <t>R1284104</t>
  </si>
  <si>
    <t>R1284304</t>
  </si>
  <si>
    <t>R1284604</t>
  </si>
  <si>
    <t>R1284904</t>
  </si>
  <si>
    <t>R1285204</t>
  </si>
  <si>
    <t>R1285304</t>
  </si>
  <si>
    <t>R1285604</t>
  </si>
  <si>
    <t>R2284604</t>
  </si>
  <si>
    <t>R2284904</t>
  </si>
  <si>
    <t>R2285204</t>
  </si>
  <si>
    <t>R2285304</t>
  </si>
  <si>
    <t>R2285604</t>
  </si>
  <si>
    <t>R2285904</t>
  </si>
  <si>
    <t>R2286004</t>
  </si>
  <si>
    <t>R2286204</t>
  </si>
  <si>
    <t>R3285604</t>
  </si>
  <si>
    <t>R3285904</t>
  </si>
  <si>
    <t>R3286004</t>
  </si>
  <si>
    <t>R3286204</t>
  </si>
  <si>
    <t>R3286304</t>
  </si>
  <si>
    <t>R3286604</t>
  </si>
  <si>
    <t>R3286904</t>
  </si>
  <si>
    <t>NH000/NH00</t>
  </si>
  <si>
    <t>3-polig</t>
  </si>
  <si>
    <t>-</t>
  </si>
  <si>
    <t>Sicherungseinsatz</t>
  </si>
  <si>
    <t>Art.-Nr.</t>
  </si>
  <si>
    <t>500V</t>
  </si>
  <si>
    <t>690V</t>
  </si>
  <si>
    <t>Standard</t>
  </si>
  <si>
    <t>/K</t>
  </si>
  <si>
    <t>Mechanische Sicherungsüberwachung</t>
  </si>
  <si>
    <t>Art.-Nr (ohne Link)</t>
  </si>
  <si>
    <t>mech. SÜ</t>
  </si>
  <si>
    <t>mech SÜ</t>
  </si>
  <si>
    <t>T4911004</t>
  </si>
  <si>
    <t>T8420057</t>
  </si>
  <si>
    <t>T4911005</t>
  </si>
  <si>
    <t>T4911019</t>
  </si>
  <si>
    <t>T4911000</t>
  </si>
  <si>
    <t>T4911001</t>
  </si>
  <si>
    <t>USV-Daten</t>
  </si>
  <si>
    <t>Sicherung</t>
  </si>
  <si>
    <t>Batterie-Daten</t>
  </si>
  <si>
    <t>Bestelldaten</t>
  </si>
  <si>
    <t>LTL</t>
  </si>
  <si>
    <t>!</t>
  </si>
  <si>
    <t>nein</t>
  </si>
  <si>
    <t>Hilfe</t>
  </si>
  <si>
    <t>1)</t>
  </si>
  <si>
    <t>2)</t>
  </si>
  <si>
    <t>3)</t>
  </si>
  <si>
    <t>Zurück</t>
  </si>
  <si>
    <t>max. Entladestrom 50%</t>
  </si>
  <si>
    <t>2xNH3</t>
  </si>
  <si>
    <t>2xNH2</t>
  </si>
  <si>
    <t>Trennmesser</t>
  </si>
  <si>
    <t>T4911031</t>
  </si>
  <si>
    <t>4-polig</t>
  </si>
  <si>
    <t>T4911017</t>
  </si>
  <si>
    <t>T4911018</t>
  </si>
  <si>
    <t>2xNH4a</t>
  </si>
  <si>
    <t>NH00</t>
  </si>
  <si>
    <t>NH4a (1600A)</t>
  </si>
  <si>
    <t>TM</t>
  </si>
  <si>
    <t>N8584910</t>
  </si>
  <si>
    <t>N8185610</t>
  </si>
  <si>
    <t>N8286210</t>
  </si>
  <si>
    <t>N8386910</t>
  </si>
  <si>
    <t>N8417900</t>
  </si>
  <si>
    <t>N8418300</t>
  </si>
  <si>
    <t>Einfach</t>
  </si>
  <si>
    <t>Parallel</t>
  </si>
  <si>
    <t>deutsch</t>
  </si>
  <si>
    <t>english</t>
  </si>
  <si>
    <t>ja</t>
  </si>
  <si>
    <t>Protection of UPS battery circuit</t>
  </si>
  <si>
    <t>UPS data</t>
  </si>
  <si>
    <t>Power factor</t>
  </si>
  <si>
    <t>DC link circuit voltage</t>
  </si>
  <si>
    <t>Fuse-link</t>
  </si>
  <si>
    <t>Battery data</t>
  </si>
  <si>
    <t>Mechanical fuse-monitoring</t>
  </si>
  <si>
    <t>yes</t>
  </si>
  <si>
    <t>no</t>
  </si>
  <si>
    <t>Final discharge voltage</t>
  </si>
  <si>
    <t>Backup time</t>
  </si>
  <si>
    <t>max. discharge current</t>
  </si>
  <si>
    <t>Order data</t>
  </si>
  <si>
    <t>Single</t>
  </si>
  <si>
    <t>Fuse</t>
  </si>
  <si>
    <t>NH switch disconnector</t>
  </si>
  <si>
    <t>Solid link</t>
  </si>
  <si>
    <t>1-pole</t>
  </si>
  <si>
    <t>2-pole</t>
  </si>
  <si>
    <t>3-pole</t>
  </si>
  <si>
    <t>4-pole</t>
  </si>
  <si>
    <t>Size</t>
  </si>
  <si>
    <t>Art.-No.</t>
  </si>
  <si>
    <t>NH-Sicherungslasttrennschalter</t>
  </si>
  <si>
    <t>mech. FM</t>
  </si>
  <si>
    <t>Help</t>
  </si>
  <si>
    <t>Back</t>
  </si>
  <si>
    <t>nein/no</t>
  </si>
  <si>
    <t>Nennleistung</t>
  </si>
  <si>
    <t>Rated power</t>
  </si>
  <si>
    <t>Anzahl Batteriestränge</t>
  </si>
  <si>
    <t>No. of battery strings</t>
  </si>
  <si>
    <t>Davon redundant</t>
  </si>
  <si>
    <t>Of which are redundant</t>
  </si>
  <si>
    <t>Projekt-Bezeichnung</t>
  </si>
  <si>
    <t>Notizen</t>
  </si>
  <si>
    <t>Project name</t>
  </si>
  <si>
    <t>Notes</t>
  </si>
  <si>
    <t>R1233402</t>
  </si>
  <si>
    <t>R1233502</t>
  </si>
  <si>
    <t>R1233802</t>
  </si>
  <si>
    <t>R1234102</t>
  </si>
  <si>
    <t>R1234302</t>
  </si>
  <si>
    <t>R1234602</t>
  </si>
  <si>
    <t>R1234902</t>
  </si>
  <si>
    <t>R1235202</t>
  </si>
  <si>
    <t>R1235302</t>
  </si>
  <si>
    <t>R1235602</t>
  </si>
  <si>
    <t>R2234602</t>
  </si>
  <si>
    <t>R2234902</t>
  </si>
  <si>
    <t>R2235202</t>
  </si>
  <si>
    <t>R2235302</t>
  </si>
  <si>
    <t>R2235602</t>
  </si>
  <si>
    <t>R2235902</t>
  </si>
  <si>
    <t>R2236002</t>
  </si>
  <si>
    <t>R2236202</t>
  </si>
  <si>
    <t>R3235602</t>
  </si>
  <si>
    <t>R3235902</t>
  </si>
  <si>
    <t>R3236002</t>
  </si>
  <si>
    <t>R3236202</t>
  </si>
  <si>
    <t>R3236302</t>
  </si>
  <si>
    <t>R3236602</t>
  </si>
  <si>
    <t>R3236902</t>
  </si>
  <si>
    <t>R1233403</t>
  </si>
  <si>
    <t>R1233503</t>
  </si>
  <si>
    <t>R1233803</t>
  </si>
  <si>
    <t>R1234103</t>
  </si>
  <si>
    <t>R1234303</t>
  </si>
  <si>
    <t>R1234603</t>
  </si>
  <si>
    <t>R1234903</t>
  </si>
  <si>
    <t>R1235203</t>
  </si>
  <si>
    <t>R1235303</t>
  </si>
  <si>
    <t>R1235603</t>
  </si>
  <si>
    <t>R2234603</t>
  </si>
  <si>
    <t>R2234903</t>
  </si>
  <si>
    <t>R2235203</t>
  </si>
  <si>
    <t>R2235303</t>
  </si>
  <si>
    <t>R2235603</t>
  </si>
  <si>
    <t>R2235903</t>
  </si>
  <si>
    <t>R2236003</t>
  </si>
  <si>
    <t>R2236203</t>
  </si>
  <si>
    <t>R3235603</t>
  </si>
  <si>
    <t>R3235903</t>
  </si>
  <si>
    <t>R3236003</t>
  </si>
  <si>
    <t>R3236203</t>
  </si>
  <si>
    <t>R3236303</t>
  </si>
  <si>
    <t>R3236603</t>
  </si>
  <si>
    <t>R3236903</t>
  </si>
  <si>
    <t>R1233406</t>
  </si>
  <si>
    <t>R1233506</t>
  </si>
  <si>
    <t>R1233806</t>
  </si>
  <si>
    <t>R1234106</t>
  </si>
  <si>
    <t>R1234306</t>
  </si>
  <si>
    <t>R1234606</t>
  </si>
  <si>
    <t>R1234906</t>
  </si>
  <si>
    <t>R1235206</t>
  </si>
  <si>
    <t>R2234306</t>
  </si>
  <si>
    <t>R2234906</t>
  </si>
  <si>
    <t>R2235206</t>
  </si>
  <si>
    <t>R2235306</t>
  </si>
  <si>
    <t>R2235606</t>
  </si>
  <si>
    <t>R2235906</t>
  </si>
  <si>
    <t>R2236006</t>
  </si>
  <si>
    <t>R2236206</t>
  </si>
  <si>
    <t>R1233407</t>
  </si>
  <si>
    <t>R1233507</t>
  </si>
  <si>
    <t>R1233807</t>
  </si>
  <si>
    <t>R1234107</t>
  </si>
  <si>
    <t>R1234307</t>
  </si>
  <si>
    <t>R1234607</t>
  </si>
  <si>
    <t>R1234907</t>
  </si>
  <si>
    <t>R1235207</t>
  </si>
  <si>
    <t>R2234307</t>
  </si>
  <si>
    <t>R2234907</t>
  </si>
  <si>
    <t>R2235207</t>
  </si>
  <si>
    <t>R2235307</t>
  </si>
  <si>
    <t>R2235607</t>
  </si>
  <si>
    <t>R2235907</t>
  </si>
  <si>
    <t>R2236007</t>
  </si>
  <si>
    <t>R2236207</t>
  </si>
  <si>
    <t>700V</t>
  </si>
  <si>
    <t>800V</t>
  </si>
  <si>
    <t>In</t>
  </si>
  <si>
    <t>Datum</t>
  </si>
  <si>
    <t>Überlast 1</t>
  </si>
  <si>
    <t>Überlast 2</t>
  </si>
  <si>
    <t>Faktor</t>
  </si>
  <si>
    <t>Strom</t>
  </si>
  <si>
    <t>Dauer</t>
  </si>
  <si>
    <t>Entladung</t>
  </si>
  <si>
    <t>Max.</t>
  </si>
  <si>
    <t>2xNH000</t>
  </si>
  <si>
    <t>2xNH1</t>
  </si>
  <si>
    <t>Überlast</t>
  </si>
  <si>
    <t>Date</t>
  </si>
  <si>
    <t>Overload</t>
  </si>
  <si>
    <t>Factor</t>
  </si>
  <si>
    <t>Current</t>
  </si>
  <si>
    <t>Duration</t>
  </si>
  <si>
    <t>Manual input</t>
  </si>
  <si>
    <t>Include</t>
  </si>
  <si>
    <t>Einkalkulieren</t>
  </si>
  <si>
    <t>Manuelle Eingabe</t>
  </si>
  <si>
    <t>Alle Betriebspunkte müssen in ausreichendem Abstand unterhalb Kennlinie liegen.
Hieraus erfolgt die Auswahl des notwendigen Bemessungsstroms der Sicherung.</t>
  </si>
  <si>
    <t>Bitte alle orangen Eingabefelder vollständig ausfüllen</t>
  </si>
  <si>
    <t>Please fill all orange input fields completely</t>
  </si>
  <si>
    <r>
      <t>Betriebspunkt (t</t>
    </r>
    <r>
      <rPr>
        <b/>
        <vertAlign val="subscript"/>
        <sz val="12"/>
        <color indexed="48"/>
        <rFont val="Calibri"/>
        <family val="2"/>
        <scheme val="minor"/>
      </rPr>
      <t>B</t>
    </r>
    <r>
      <rPr>
        <b/>
        <sz val="12"/>
        <color indexed="48"/>
        <rFont val="Calibri"/>
        <family val="2"/>
        <scheme val="minor"/>
      </rPr>
      <t>/I</t>
    </r>
    <r>
      <rPr>
        <b/>
        <vertAlign val="subscript"/>
        <sz val="12"/>
        <color indexed="48"/>
        <rFont val="Calibri"/>
        <family val="2"/>
        <scheme val="minor"/>
      </rPr>
      <t>B</t>
    </r>
    <r>
      <rPr>
        <b/>
        <sz val="12"/>
        <color indexed="48"/>
        <rFont val="Calibri"/>
        <family val="2"/>
        <scheme val="minor"/>
      </rPr>
      <t>)</t>
    </r>
  </si>
  <si>
    <r>
      <t>Der maximale Betriebsstrom I</t>
    </r>
    <r>
      <rPr>
        <vertAlign val="subscript"/>
        <sz val="12"/>
        <rFont val="Calibri"/>
        <family val="2"/>
        <scheme val="minor"/>
      </rPr>
      <t>B</t>
    </r>
    <r>
      <rPr>
        <sz val="12"/>
        <rFont val="Calibri"/>
        <family val="2"/>
        <scheme val="minor"/>
      </rPr>
      <t xml:space="preserve"> ergibt sich aus der USV-Wirkleistung und Entladeschlussspannung: I</t>
    </r>
    <r>
      <rPr>
        <vertAlign val="subscript"/>
        <sz val="12"/>
        <rFont val="Calibri"/>
        <family val="2"/>
        <scheme val="minor"/>
      </rPr>
      <t>B</t>
    </r>
    <r>
      <rPr>
        <sz val="12"/>
        <rFont val="Calibri"/>
        <family val="2"/>
        <scheme val="minor"/>
      </rPr>
      <t> = P</t>
    </r>
    <r>
      <rPr>
        <vertAlign val="subscript"/>
        <sz val="12"/>
        <rFont val="Calibri"/>
        <family val="2"/>
        <scheme val="minor"/>
      </rPr>
      <t>W</t>
    </r>
    <r>
      <rPr>
        <sz val="12"/>
        <rFont val="Calibri"/>
        <family val="2"/>
        <scheme val="minor"/>
      </rPr>
      <t>/U</t>
    </r>
    <r>
      <rPr>
        <vertAlign val="subscript"/>
        <sz val="12"/>
        <rFont val="Calibri"/>
        <family val="2"/>
        <scheme val="minor"/>
      </rPr>
      <t>E</t>
    </r>
    <r>
      <rPr>
        <sz val="12"/>
        <rFont val="Calibri"/>
        <family val="2"/>
        <scheme val="minor"/>
      </rPr>
      <t>.
t</t>
    </r>
    <r>
      <rPr>
        <vertAlign val="subscript"/>
        <sz val="12"/>
        <rFont val="Calibri"/>
        <family val="2"/>
        <scheme val="minor"/>
      </rPr>
      <t>B</t>
    </r>
    <r>
      <rPr>
        <sz val="12"/>
        <rFont val="Calibri"/>
        <family val="2"/>
        <scheme val="minor"/>
      </rPr>
      <t xml:space="preserve"> entspricht dabei der Überbrückungszeit der USV-Anlage. Hierbei ist der ungünstigste Fall des Betriebs unter Wegfall evtl. vorgesehener Redundanzen zu berücksichtigen</t>
    </r>
  </si>
  <si>
    <r>
      <t>Überlasten (t</t>
    </r>
    <r>
      <rPr>
        <b/>
        <vertAlign val="subscript"/>
        <sz val="12"/>
        <color indexed="48"/>
        <rFont val="Calibri"/>
        <family val="2"/>
        <scheme val="minor"/>
      </rPr>
      <t>O</t>
    </r>
    <r>
      <rPr>
        <b/>
        <sz val="12"/>
        <color indexed="48"/>
        <rFont val="Calibri"/>
        <family val="2"/>
        <scheme val="minor"/>
      </rPr>
      <t>/I</t>
    </r>
    <r>
      <rPr>
        <b/>
        <vertAlign val="subscript"/>
        <sz val="12"/>
        <color indexed="48"/>
        <rFont val="Calibri"/>
        <family val="2"/>
        <scheme val="minor"/>
      </rPr>
      <t>O</t>
    </r>
    <r>
      <rPr>
        <b/>
        <sz val="12"/>
        <color indexed="48"/>
        <rFont val="Calibri"/>
        <family val="2"/>
        <scheme val="minor"/>
      </rPr>
      <t>)</t>
    </r>
  </si>
  <si>
    <r>
      <t>Zulässige Überlasten (I</t>
    </r>
    <r>
      <rPr>
        <vertAlign val="subscript"/>
        <sz val="12"/>
        <rFont val="Calibri"/>
        <family val="2"/>
        <scheme val="minor"/>
      </rPr>
      <t>O</t>
    </r>
    <r>
      <rPr>
        <sz val="12"/>
        <rFont val="Calibri"/>
        <family val="2"/>
        <scheme val="minor"/>
      </rPr>
      <t>) und ihre Dauer (t</t>
    </r>
    <r>
      <rPr>
        <vertAlign val="subscript"/>
        <sz val="12"/>
        <rFont val="Calibri"/>
        <family val="2"/>
        <scheme val="minor"/>
      </rPr>
      <t>O</t>
    </r>
    <r>
      <rPr>
        <sz val="12"/>
        <rFont val="Calibri"/>
        <family val="2"/>
        <scheme val="minor"/>
      </rPr>
      <t xml:space="preserve">) sind ebenfalls zu berücksichtigen.
</t>
    </r>
  </si>
  <si>
    <t>Eingaben der USV- und Batteriedaten erfolgen in den orangen Feldern. Optional können Notizen in den gelben Feldern eingetragen werden.</t>
  </si>
  <si>
    <t>Wenn der Sicherungsfall über eine mech. Sicherungsüberwachung weitergemeldet werden soll, ist hier ja auszuwählen. Dadurch werden automatisch Sicherungseinsätze mit Kraftmelder und das entsprechende Zubehör für die NH-Sicherungslasttrennschalter vorgeschlagen.</t>
  </si>
  <si>
    <t>Eingabe der für die Batterie relevanten Daten. Die Entladeschlussspannung dient zur Berechnung des max. Entladestroms unter Berücksichtigung der angegebenen redundanten Batteriestränge</t>
  </si>
  <si>
    <t>4)</t>
  </si>
  <si>
    <t>Falls stattdessen eine manuelle Eingabe des max. Entladestroms gewünscht ist, kann dies hier umgestellt werden.</t>
  </si>
  <si>
    <t>5)</t>
  </si>
  <si>
    <t>Bis zu zwei Überlasten können zusätzlich in die Berechnung mit einkalkuliert werden. Hier sind Faktor und Dauer anzugeben.</t>
  </si>
  <si>
    <t>6-8)</t>
  </si>
  <si>
    <t>Nach Eingabe aller relevanten Daten werden in dieser Tabelle die Artikel-Nummern für Sicherungseinsatz (6), NH-Sicherungslasttrennschalter je nach benötigter Polzahl ggf. mit mech. Sicherungsüberwachung (7) und Trennmesser für ungesicherte Pole (8) ausgegeben. Die Artikelnummern verlinken dabei direkt auf unseren Online-Produktkatalog.</t>
  </si>
  <si>
    <r>
      <t>Operating point (t</t>
    </r>
    <r>
      <rPr>
        <b/>
        <vertAlign val="subscript"/>
        <sz val="12"/>
        <color indexed="48"/>
        <rFont val="Calibri"/>
        <family val="2"/>
        <scheme val="minor"/>
      </rPr>
      <t>B</t>
    </r>
    <r>
      <rPr>
        <b/>
        <sz val="12"/>
        <color indexed="48"/>
        <rFont val="Calibri"/>
        <family val="2"/>
        <scheme val="minor"/>
      </rPr>
      <t>/I</t>
    </r>
    <r>
      <rPr>
        <b/>
        <vertAlign val="subscript"/>
        <sz val="12"/>
        <color indexed="48"/>
        <rFont val="Calibri"/>
        <family val="2"/>
        <scheme val="minor"/>
      </rPr>
      <t>B</t>
    </r>
    <r>
      <rPr>
        <b/>
        <sz val="12"/>
        <color indexed="48"/>
        <rFont val="Calibri"/>
        <family val="2"/>
        <scheme val="minor"/>
      </rPr>
      <t>)</t>
    </r>
  </si>
  <si>
    <r>
      <t>Overload (t</t>
    </r>
    <r>
      <rPr>
        <b/>
        <vertAlign val="subscript"/>
        <sz val="12"/>
        <color indexed="48"/>
        <rFont val="Calibri"/>
        <family val="2"/>
        <scheme val="minor"/>
      </rPr>
      <t>O</t>
    </r>
    <r>
      <rPr>
        <b/>
        <sz val="12"/>
        <color indexed="48"/>
        <rFont val="Calibri"/>
        <family val="2"/>
        <scheme val="minor"/>
      </rPr>
      <t>/I</t>
    </r>
    <r>
      <rPr>
        <b/>
        <vertAlign val="subscript"/>
        <sz val="12"/>
        <color indexed="48"/>
        <rFont val="Calibri"/>
        <family val="2"/>
        <scheme val="minor"/>
      </rPr>
      <t>O</t>
    </r>
    <r>
      <rPr>
        <b/>
        <sz val="12"/>
        <color indexed="48"/>
        <rFont val="Calibri"/>
        <family val="2"/>
        <scheme val="minor"/>
      </rPr>
      <t>)</t>
    </r>
  </si>
  <si>
    <r>
      <t>The maximum operating current I</t>
    </r>
    <r>
      <rPr>
        <vertAlign val="subscript"/>
        <sz val="12"/>
        <rFont val="Calibri"/>
        <family val="2"/>
        <scheme val="minor"/>
      </rPr>
      <t>B</t>
    </r>
    <r>
      <rPr>
        <sz val="12"/>
        <rFont val="Calibri"/>
        <family val="2"/>
        <scheme val="minor"/>
      </rPr>
      <t xml:space="preserve"> is calculated from the UPS effective power and the final discharge voltage: I</t>
    </r>
    <r>
      <rPr>
        <vertAlign val="subscript"/>
        <sz val="12"/>
        <rFont val="Calibri"/>
        <family val="2"/>
        <scheme val="minor"/>
      </rPr>
      <t>B</t>
    </r>
    <r>
      <rPr>
        <sz val="12"/>
        <rFont val="Calibri"/>
        <family val="2"/>
        <scheme val="minor"/>
      </rPr>
      <t> = P</t>
    </r>
    <r>
      <rPr>
        <vertAlign val="subscript"/>
        <sz val="12"/>
        <rFont val="Calibri"/>
        <family val="2"/>
        <scheme val="minor"/>
      </rPr>
      <t>W</t>
    </r>
    <r>
      <rPr>
        <sz val="12"/>
        <rFont val="Calibri"/>
        <family val="2"/>
        <scheme val="minor"/>
      </rPr>
      <t>/U</t>
    </r>
    <r>
      <rPr>
        <vertAlign val="subscript"/>
        <sz val="12"/>
        <rFont val="Calibri"/>
        <family val="2"/>
        <scheme val="minor"/>
      </rPr>
      <t>E</t>
    </r>
    <r>
      <rPr>
        <sz val="12"/>
        <rFont val="Calibri"/>
        <family val="2"/>
        <scheme val="minor"/>
      </rPr>
      <t>.
t</t>
    </r>
    <r>
      <rPr>
        <vertAlign val="subscript"/>
        <sz val="12"/>
        <rFont val="Calibri"/>
        <family val="2"/>
        <scheme val="minor"/>
      </rPr>
      <t>B</t>
    </r>
    <r>
      <rPr>
        <sz val="12"/>
        <rFont val="Calibri"/>
        <family val="2"/>
        <scheme val="minor"/>
      </rPr>
      <t xml:space="preserve"> corresponds to the backup time of the UPS system.  Here the operation with outage of potential redundant battery
strings has to be considered.</t>
    </r>
  </si>
  <si>
    <r>
      <t>Permissible overload (I</t>
    </r>
    <r>
      <rPr>
        <vertAlign val="subscript"/>
        <sz val="12"/>
        <rFont val="Calibri"/>
        <family val="2"/>
        <scheme val="minor"/>
      </rPr>
      <t>O</t>
    </r>
    <r>
      <rPr>
        <sz val="12"/>
        <rFont val="Calibri"/>
        <family val="2"/>
        <scheme val="minor"/>
      </rPr>
      <t>) and their duration (t</t>
    </r>
    <r>
      <rPr>
        <vertAlign val="subscript"/>
        <sz val="12"/>
        <rFont val="Calibri"/>
        <family val="2"/>
        <scheme val="minor"/>
      </rPr>
      <t>O</t>
    </r>
    <r>
      <rPr>
        <sz val="12"/>
        <rFont val="Calibri"/>
        <family val="2"/>
        <scheme val="minor"/>
      </rPr>
      <t xml:space="preserve">) have also to be considered.
</t>
    </r>
  </si>
  <si>
    <t>All operating points have to be located below the time current characteristics curve with sufficient distance.
From this results the selection of the required rated current for the fuse.</t>
  </si>
  <si>
    <t>Input of UPS and battery data takes place in the orange input fields. Optional notes can be placed in the yellow fields.</t>
  </si>
  <si>
    <t>If fuse-tripping should be monitored by a mechanical fuse-monitoring you should select yes. Thereby automatically fuse-links with striker indicator and respective accessories for the fuse-switch-disconnectors are recommended.</t>
  </si>
  <si>
    <t>Input of all relevant data for the battery. The final discharge voltage is the base for calculating the max. discharge current while considering the specified redundant battery strings.</t>
  </si>
  <si>
    <t>If the optional manual input of the max. discharge current is required, this can be changed here.</t>
  </si>
  <si>
    <t>Up to two overloads can be considered in the calculation. Here you can input the overload factor and duration.</t>
  </si>
  <si>
    <t>After input of all relevant data this table displays the article codes for fuse-link (6), NH fuse-switch-disconnector according to the required no. of poles with mechanical fuse-monitoring if applicable (7) and solid links for non-protected poles (8). The article numbers directly link to our online product catalogue.</t>
  </si>
  <si>
    <t>*Achtung! Kein Lastschaltvermögen bei DC-Spannung &gt; 440V. Angaben zur Gebrauchskategorie beachten!</t>
  </si>
  <si>
    <t>*Attention! No load breaking capability for DC voltages &gt;440V. Consider given utilization category!</t>
  </si>
  <si>
    <t>*Attention! For backup time &gt;60min consider power dissipation. Contact manufacturer if necessary.</t>
  </si>
  <si>
    <t>*Achtung! Bei Überbrückungszeit &gt;60min Leistungsabgabe beachten. Ggf. Hersteller kontaktieren.</t>
  </si>
  <si>
    <t>2.0</t>
  </si>
  <si>
    <t>Version</t>
  </si>
  <si>
    <t>Änderungen</t>
  </si>
  <si>
    <t>Komplette Überarbeitung mit Integration der neuen Batteriesicherungen 700V und 800V</t>
  </si>
  <si>
    <t>2.0.1</t>
  </si>
  <si>
    <t>Fehlerkorrekturen</t>
  </si>
  <si>
    <t>2.0.2</t>
  </si>
  <si>
    <t>Ergänzung von Hinweisen zur Leistungsabgabe bei Überbrückungszeiten &gt;60min und zum DC-Lastschaltvermögen</t>
  </si>
  <si>
    <t>2.0.3</t>
  </si>
  <si>
    <t>Fehlerkorrektur: Bei kleinen Strömen immer Ausgabe der 35A-Sicherung in Größe NH1</t>
  </si>
  <si>
    <t>Wirkungsgrad DC/AC</t>
  </si>
  <si>
    <t>Efficiency DC/AC</t>
  </si>
  <si>
    <t>2.0.4</t>
  </si>
  <si>
    <t>Ergänzung, dass nur Wirkungsgrad des Wechselrichters benötigt wird (DC/AC-Wandlung von Batterie zu Verbraucherseite). Falls AC/AC-Wirkungsgrad eingesetzt ist, liegt die Berechnung aber auf sicherer Seite.</t>
  </si>
  <si>
    <t>Eingabe Leistungsdaten der USV-Anlage. Die Zwischenkreisspannung ist dabei ausschlaggebend für die Bemesssungspannung der Sicherung. Die Erhaltungsladespannung dagegen ist nicht für das Schaltverhalten der Sicherung relevant. Sie sollte jedoch maximal der Isolationsspannung des verwendeten Schaltgeräts entsprechen.
Für die Berechnung ist grundsätzlich nur der Wirkungsgrad des Wechselrichters relevant (Von der Batterie zum Verbraucher). Falls nur der Gesamt-Wirkungsgrad AC/AC bekannt ist, liegt die Berechnung aber auf der sicheren Seite.</t>
  </si>
  <si>
    <t xml:space="preserve">Input of UPS ratings. The DC link voltage is crucial for the rated voltage of the fuse-link. On the contrary the float voltage is not relevant for the breaking behaviour of the fuse-link. It should not exceed the isolation voltage of the applied switchgear.
Basically only the efficiency of the inverter (battery to load) is relevant for the calculation. If only the complete efficiency AC/AC is known the calculation will still be on the safe side.
</t>
  </si>
  <si>
    <t>Integration von KETO</t>
  </si>
  <si>
    <t>T8052170</t>
  </si>
  <si>
    <t>T8092170</t>
  </si>
  <si>
    <t>ja/yes</t>
  </si>
  <si>
    <t>2.1.0</t>
  </si>
  <si>
    <t>T500111002</t>
  </si>
  <si>
    <t>T100111002</t>
  </si>
  <si>
    <t>T300111002</t>
  </si>
  <si>
    <t>T500112002</t>
  </si>
  <si>
    <t>T100112002</t>
  </si>
  <si>
    <t>T300112002</t>
  </si>
  <si>
    <t>T500113002</t>
  </si>
  <si>
    <t>T100113002</t>
  </si>
  <si>
    <t>T200113002</t>
  </si>
  <si>
    <t>T300113002</t>
  </si>
  <si>
    <t>T500114002</t>
  </si>
  <si>
    <t>T100114002</t>
  </si>
  <si>
    <t>T300114002</t>
  </si>
  <si>
    <t>V2.1.2</t>
  </si>
  <si>
    <t>2.1.2</t>
  </si>
  <si>
    <t>Udate der Web-Adresse auf neue JM 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</si>
</sst>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0"/>
      <name val="Arial"/>
      <charset val="238"/>
    </font>
    <font>
      <sz val="10"/>
      <name val="Arial"/>
      <family val="2"/>
    </font>
    <font>
      <u/>
      <sz val="10"/>
      <color indexed="12"/>
      <name val="Arial"/>
      <family val="2"/>
    </font>
    <font>
      <sz val="10"/>
      <name val="Arial"/>
      <family val="2"/>
    </font>
    <font>
      <i/>
      <sz val="10"/>
      <name val="Arial"/>
      <family val="2"/>
    </font>
    <font>
      <b/>
      <sz val="10"/>
      <name val="Arial"/>
      <family val="2"/>
    </font>
    <font>
      <sz val="12"/>
      <name val="Arial"/>
      <family val="2"/>
    </font>
    <font>
      <b/>
      <u/>
      <sz val="12"/>
      <color indexed="12"/>
      <name val="Arial"/>
      <family val="2"/>
    </font>
    <font>
      <sz val="10"/>
      <name val="Arial"/>
      <family val="2"/>
    </font>
    <font>
      <sz val="10.5"/>
      <name val="Arial"/>
      <family val="2"/>
    </font>
    <font>
      <sz val="11"/>
      <color rgb="FF3F3F76"/>
      <name val="Calibri"/>
      <family val="2"/>
      <scheme val="minor"/>
    </font>
    <font>
      <b/>
      <sz val="11"/>
      <color rgb="FFFA7D00"/>
      <name val="Calibri"/>
      <family val="2"/>
      <scheme val="minor"/>
    </font>
    <font>
      <sz val="11"/>
      <color rgb="FFFF0000"/>
      <name val="Calibri"/>
      <family val="2"/>
      <scheme val="minor"/>
    </font>
    <font>
      <sz val="11"/>
      <name val="Calibri"/>
      <family val="2"/>
      <scheme val="minor"/>
    </font>
    <font>
      <b/>
      <sz val="11"/>
      <name val="Calibri"/>
      <family val="2"/>
      <scheme val="minor"/>
    </font>
    <font>
      <b/>
      <u/>
      <sz val="11"/>
      <color indexed="12"/>
      <name val="Calibri"/>
      <family val="2"/>
      <scheme val="minor"/>
    </font>
    <font>
      <u/>
      <sz val="11"/>
      <color indexed="12"/>
      <name val="Calibri"/>
      <family val="2"/>
      <scheme val="minor"/>
    </font>
    <font>
      <b/>
      <sz val="22"/>
      <name val="Calibri"/>
      <family val="2"/>
      <scheme val="minor"/>
    </font>
    <font>
      <b/>
      <sz val="12"/>
      <color indexed="48"/>
      <name val="Calibri"/>
      <family val="2"/>
      <scheme val="minor"/>
    </font>
    <font>
      <b/>
      <vertAlign val="subscript"/>
      <sz val="12"/>
      <color indexed="48"/>
      <name val="Calibri"/>
      <family val="2"/>
      <scheme val="minor"/>
    </font>
    <font>
      <sz val="12"/>
      <color indexed="48"/>
      <name val="Calibri"/>
      <family val="2"/>
      <scheme val="minor"/>
    </font>
    <font>
      <sz val="10"/>
      <name val="Calibri"/>
      <family val="2"/>
      <scheme val="minor"/>
    </font>
    <font>
      <sz val="12"/>
      <name val="Calibri"/>
      <family val="2"/>
      <scheme val="minor"/>
    </font>
    <font>
      <vertAlign val="subscript"/>
      <sz val="12"/>
      <name val="Calibri"/>
      <family val="2"/>
      <scheme val="minor"/>
    </font>
    <font>
      <b/>
      <sz val="12"/>
      <name val="Calibri"/>
      <family val="2"/>
      <scheme val="minor"/>
    </font>
    <font>
      <b/>
      <u/>
      <sz val="12"/>
      <color indexed="12"/>
      <name val="Calibri"/>
      <family val="2"/>
      <scheme val="minor"/>
    </font>
    <font>
      <i/>
      <sz val="11"/>
      <color rgb="FFC00000"/>
      <name val="Calibri"/>
      <family val="2"/>
      <scheme val="minor"/>
    </font>
    <font>
      <sz val="11"/>
      <color rgb="FFC00000"/>
      <name val="Calibri"/>
      <family val="2"/>
      <scheme val="minor"/>
    </font>
    <font>
      <b/>
      <sz val="10"/>
      <color rgb="FFFF000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CC99"/>
      </patternFill>
    </fill>
    <fill>
      <patternFill patternType="solid">
        <fgColor rgb="FFF2F2F2"/>
      </patternFill>
    </fill>
    <fill>
      <patternFill patternType="solid">
        <fgColor rgb="FFFFFFCC"/>
      </patternFill>
    </fill>
  </fills>
  <borders count="4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style="thin">
        <color rgb="FFB2B2B2"/>
      </left>
      <right style="medium">
        <color indexed="64"/>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rgb="FF7F7F7F"/>
      </left>
      <right style="medium">
        <color indexed="64"/>
      </right>
      <top style="medium">
        <color indexed="64"/>
      </top>
      <bottom style="medium">
        <color indexed="64"/>
      </bottom>
      <diagonal/>
    </border>
    <border>
      <left style="thin">
        <color rgb="FF7F7F7F"/>
      </left>
      <right style="thin">
        <color rgb="FF7F7F7F"/>
      </right>
      <top/>
      <bottom style="thin">
        <color rgb="FF7F7F7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10" fillId="3" borderId="32" applyNumberFormat="0" applyAlignment="0" applyProtection="0"/>
    <xf numFmtId="0" fontId="11" fillId="4" borderId="32" applyNumberFormat="0" applyAlignment="0" applyProtection="0"/>
    <xf numFmtId="0" fontId="12" fillId="0" borderId="0" applyNumberFormat="0" applyFill="0" applyBorder="0" applyAlignment="0" applyProtection="0"/>
    <xf numFmtId="0" fontId="1" fillId="5" borderId="33" applyNumberFormat="0" applyFont="0" applyAlignment="0" applyProtection="0"/>
  </cellStyleXfs>
  <cellXfs count="189">
    <xf numFmtId="0" fontId="0" fillId="0" borderId="0" xfId="0"/>
    <xf numFmtId="0" fontId="3" fillId="0" borderId="0" xfId="4" applyFont="1"/>
    <xf numFmtId="0" fontId="4" fillId="0" borderId="0" xfId="0" applyFont="1"/>
    <xf numFmtId="2" fontId="0" fillId="0" borderId="0" xfId="0" applyNumberFormat="1"/>
    <xf numFmtId="0" fontId="5" fillId="0" borderId="0" xfId="0" applyFont="1"/>
    <xf numFmtId="49" fontId="3" fillId="0" borderId="0" xfId="2" applyNumberFormat="1"/>
    <xf numFmtId="0" fontId="3" fillId="0" borderId="0" xfId="2"/>
    <xf numFmtId="49" fontId="3" fillId="0" borderId="0" xfId="2" applyNumberFormat="1" applyFont="1"/>
    <xf numFmtId="49" fontId="3" fillId="0" borderId="0" xfId="3" applyNumberFormat="1"/>
    <xf numFmtId="0" fontId="3" fillId="0" borderId="0" xfId="3"/>
    <xf numFmtId="49" fontId="3" fillId="0" borderId="0" xfId="3" applyNumberFormat="1" applyFont="1"/>
    <xf numFmtId="0" fontId="3" fillId="0" borderId="0" xfId="2" applyNumberFormat="1"/>
    <xf numFmtId="0" fontId="3" fillId="0" borderId="0" xfId="3" applyNumberFormat="1"/>
    <xf numFmtId="0" fontId="3" fillId="0" borderId="0" xfId="3" applyNumberFormat="1" applyFont="1"/>
    <xf numFmtId="0" fontId="0" fillId="0" borderId="0" xfId="0" applyAlignment="1">
      <alignment wrapText="1"/>
    </xf>
    <xf numFmtId="0" fontId="6" fillId="2" borderId="0" xfId="0" applyFont="1" applyFill="1"/>
    <xf numFmtId="0" fontId="7" fillId="2" borderId="0" xfId="1" applyFont="1" applyFill="1" applyAlignment="1" applyProtection="1"/>
    <xf numFmtId="0" fontId="2" fillId="2" borderId="0" xfId="1" applyFill="1" applyAlignment="1" applyProtection="1"/>
    <xf numFmtId="0" fontId="8" fillId="0" borderId="0" xfId="0" applyFont="1"/>
    <xf numFmtId="49" fontId="0" fillId="0" borderId="0" xfId="0" applyNumberFormat="1"/>
    <xf numFmtId="0" fontId="3" fillId="0" borderId="0" xfId="0" applyFont="1"/>
    <xf numFmtId="0" fontId="3" fillId="0" borderId="11" xfId="4" applyFont="1" applyBorder="1"/>
    <xf numFmtId="0" fontId="3" fillId="0" borderId="0" xfId="4" applyFont="1" applyBorder="1"/>
    <xf numFmtId="0" fontId="0" fillId="0" borderId="0" xfId="0" applyBorder="1"/>
    <xf numFmtId="0" fontId="0" fillId="0" borderId="20" xfId="0" quotePrefix="1" applyBorder="1"/>
    <xf numFmtId="0" fontId="3" fillId="0" borderId="11" xfId="4" applyBorder="1" applyAlignment="1">
      <alignment horizontal="right"/>
    </xf>
    <xf numFmtId="0" fontId="3" fillId="0" borderId="0" xfId="4" applyBorder="1" applyAlignment="1">
      <alignment horizontal="right"/>
    </xf>
    <xf numFmtId="0" fontId="0" fillId="0" borderId="20" xfId="0" applyBorder="1"/>
    <xf numFmtId="0" fontId="0" fillId="0" borderId="11" xfId="0" applyBorder="1" applyAlignment="1">
      <alignment horizontal="right"/>
    </xf>
    <xf numFmtId="0" fontId="0" fillId="0" borderId="0" xfId="0" applyBorder="1" applyAlignment="1">
      <alignment horizontal="right"/>
    </xf>
    <xf numFmtId="0" fontId="0" fillId="0" borderId="12" xfId="0" applyBorder="1"/>
    <xf numFmtId="0" fontId="3" fillId="0" borderId="15" xfId="0" applyFont="1" applyBorder="1"/>
    <xf numFmtId="0" fontId="0" fillId="0" borderId="15" xfId="0" applyBorder="1"/>
    <xf numFmtId="0" fontId="0" fillId="0" borderId="16" xfId="0" applyBorder="1"/>
    <xf numFmtId="0" fontId="0" fillId="0" borderId="11" xfId="0" applyBorder="1"/>
    <xf numFmtId="0" fontId="0" fillId="0" borderId="17" xfId="0" applyBorder="1"/>
    <xf numFmtId="0" fontId="0" fillId="0" borderId="18" xfId="0" applyBorder="1"/>
    <xf numFmtId="0" fontId="0" fillId="0" borderId="19" xfId="0" applyBorder="1"/>
    <xf numFmtId="0" fontId="0" fillId="0" borderId="0" xfId="0" quotePrefix="1" applyBorder="1"/>
    <xf numFmtId="0" fontId="9" fillId="2" borderId="11" xfId="4" applyFont="1" applyFill="1" applyBorder="1"/>
    <xf numFmtId="0" fontId="10" fillId="3" borderId="32" xfId="5" applyProtection="1">
      <protection locked="0" hidden="1"/>
    </xf>
    <xf numFmtId="0" fontId="10" fillId="3" borderId="34" xfId="5" applyBorder="1" applyProtection="1">
      <protection locked="0" hidden="1"/>
    </xf>
    <xf numFmtId="0" fontId="10" fillId="3" borderId="32" xfId="5" applyBorder="1" applyProtection="1">
      <protection locked="0" hidden="1"/>
    </xf>
    <xf numFmtId="0" fontId="10" fillId="3" borderId="32" xfId="5" applyFont="1" applyProtection="1">
      <protection locked="0" hidden="1"/>
    </xf>
    <xf numFmtId="0" fontId="10" fillId="3" borderId="34" xfId="5" applyFont="1" applyBorder="1" applyProtection="1">
      <protection locked="0" hidden="1"/>
    </xf>
    <xf numFmtId="0" fontId="10" fillId="3" borderId="35" xfId="5" applyFont="1" applyBorder="1" applyProtection="1">
      <protection locked="0" hidden="1"/>
    </xf>
    <xf numFmtId="0" fontId="10" fillId="3" borderId="32" xfId="5" applyFont="1" applyBorder="1" applyProtection="1">
      <protection locked="0" hidden="1"/>
    </xf>
    <xf numFmtId="164" fontId="10" fillId="3" borderId="36" xfId="5" applyNumberFormat="1" applyFont="1" applyBorder="1" applyProtection="1">
      <protection locked="0" hidden="1"/>
    </xf>
    <xf numFmtId="0" fontId="13" fillId="2" borderId="0" xfId="4" applyFont="1" applyFill="1" applyProtection="1">
      <protection hidden="1"/>
    </xf>
    <xf numFmtId="0" fontId="15" fillId="2" borderId="0" xfId="1" applyFont="1" applyFill="1" applyAlignment="1" applyProtection="1">
      <protection hidden="1"/>
    </xf>
    <xf numFmtId="0" fontId="13" fillId="2" borderId="13" xfId="4" applyFont="1" applyFill="1" applyBorder="1" applyProtection="1">
      <protection hidden="1"/>
    </xf>
    <xf numFmtId="0" fontId="13" fillId="2" borderId="0" xfId="4" applyFont="1" applyFill="1" applyBorder="1" applyProtection="1">
      <protection hidden="1"/>
    </xf>
    <xf numFmtId="0" fontId="13" fillId="2" borderId="20" xfId="4" applyFont="1" applyFill="1" applyBorder="1" applyProtection="1">
      <protection hidden="1"/>
    </xf>
    <xf numFmtId="0" fontId="13" fillId="2" borderId="0" xfId="4" applyFont="1" applyFill="1" applyBorder="1" applyAlignment="1" applyProtection="1">
      <alignment vertical="top" wrapText="1"/>
      <protection hidden="1"/>
    </xf>
    <xf numFmtId="0" fontId="13" fillId="2" borderId="15" xfId="4" applyFont="1" applyFill="1" applyBorder="1" applyProtection="1">
      <protection hidden="1"/>
    </xf>
    <xf numFmtId="0" fontId="13" fillId="2" borderId="16" xfId="4" applyFont="1" applyFill="1" applyBorder="1" applyProtection="1">
      <protection hidden="1"/>
    </xf>
    <xf numFmtId="0" fontId="14" fillId="2" borderId="0" xfId="4" applyFont="1" applyFill="1" applyBorder="1" applyAlignment="1" applyProtection="1">
      <protection hidden="1"/>
    </xf>
    <xf numFmtId="0" fontId="13" fillId="2" borderId="0" xfId="4" applyFont="1" applyFill="1" applyBorder="1" applyAlignment="1" applyProtection="1">
      <alignment horizontal="center" vertical="top" wrapText="1"/>
      <protection hidden="1"/>
    </xf>
    <xf numFmtId="0" fontId="13" fillId="2" borderId="10" xfId="4" applyFont="1" applyFill="1" applyBorder="1" applyProtection="1">
      <protection hidden="1"/>
    </xf>
    <xf numFmtId="0" fontId="13" fillId="2" borderId="11" xfId="4" applyFont="1" applyFill="1" applyBorder="1" applyProtection="1">
      <protection hidden="1"/>
    </xf>
    <xf numFmtId="0" fontId="13" fillId="2" borderId="12" xfId="4" applyFont="1" applyFill="1" applyBorder="1" applyProtection="1">
      <protection hidden="1"/>
    </xf>
    <xf numFmtId="0" fontId="13" fillId="2" borderId="29" xfId="4" applyFont="1" applyFill="1" applyBorder="1" applyProtection="1">
      <protection hidden="1"/>
    </xf>
    <xf numFmtId="0" fontId="13" fillId="2" borderId="30" xfId="4" applyFont="1" applyFill="1" applyBorder="1" applyProtection="1">
      <protection hidden="1"/>
    </xf>
    <xf numFmtId="0" fontId="14" fillId="2" borderId="0" xfId="4" applyFont="1" applyFill="1" applyProtection="1">
      <protection hidden="1"/>
    </xf>
    <xf numFmtId="0" fontId="13" fillId="2" borderId="14" xfId="4" applyFont="1" applyFill="1" applyBorder="1" applyProtection="1">
      <protection hidden="1"/>
    </xf>
    <xf numFmtId="0" fontId="14" fillId="2" borderId="13" xfId="4" applyFont="1" applyFill="1" applyBorder="1" applyAlignment="1" applyProtection="1">
      <protection hidden="1"/>
    </xf>
    <xf numFmtId="0" fontId="14" fillId="2" borderId="13" xfId="4" applyFont="1" applyFill="1" applyBorder="1" applyAlignment="1" applyProtection="1">
      <alignment horizontal="left"/>
      <protection hidden="1"/>
    </xf>
    <xf numFmtId="0" fontId="14" fillId="2" borderId="14" xfId="4" applyFont="1" applyFill="1" applyBorder="1" applyAlignment="1" applyProtection="1">
      <alignment horizontal="left"/>
      <protection hidden="1"/>
    </xf>
    <xf numFmtId="0" fontId="13" fillId="2" borderId="26" xfId="4" applyFont="1" applyFill="1" applyBorder="1" applyAlignment="1" applyProtection="1">
      <alignment horizontal="center"/>
      <protection hidden="1"/>
    </xf>
    <xf numFmtId="0" fontId="14" fillId="2" borderId="8" xfId="4" applyFont="1" applyFill="1" applyBorder="1" applyProtection="1">
      <protection hidden="1"/>
    </xf>
    <xf numFmtId="0" fontId="13" fillId="2" borderId="27" xfId="4" applyFont="1" applyFill="1" applyBorder="1" applyAlignment="1" applyProtection="1">
      <alignment horizontal="center"/>
      <protection hidden="1"/>
    </xf>
    <xf numFmtId="0" fontId="14" fillId="2" borderId="1" xfId="4" applyFont="1" applyFill="1" applyBorder="1" applyAlignment="1" applyProtection="1">
      <alignment horizontal="center" vertical="top" wrapText="1"/>
      <protection hidden="1"/>
    </xf>
    <xf numFmtId="0" fontId="14" fillId="2" borderId="3" xfId="4" applyFont="1" applyFill="1" applyBorder="1" applyAlignment="1" applyProtection="1">
      <alignment horizontal="center" vertical="top" wrapText="1"/>
      <protection hidden="1"/>
    </xf>
    <xf numFmtId="0" fontId="13" fillId="2" borderId="3" xfId="4" applyFont="1" applyFill="1" applyBorder="1" applyProtection="1">
      <protection hidden="1"/>
    </xf>
    <xf numFmtId="0" fontId="13" fillId="2" borderId="5" xfId="4" applyFont="1" applyFill="1" applyBorder="1" applyProtection="1">
      <protection hidden="1"/>
    </xf>
    <xf numFmtId="0" fontId="14" fillId="2" borderId="28" xfId="4" applyFont="1" applyFill="1" applyBorder="1" applyAlignment="1" applyProtection="1">
      <alignment horizontal="center"/>
      <protection hidden="1"/>
    </xf>
    <xf numFmtId="0" fontId="13" fillId="2" borderId="2" xfId="4" applyFont="1" applyFill="1" applyBorder="1" applyAlignment="1" applyProtection="1">
      <alignment horizontal="center"/>
      <protection hidden="1"/>
    </xf>
    <xf numFmtId="0" fontId="13" fillId="2" borderId="6" xfId="4" applyFont="1" applyFill="1" applyBorder="1" applyAlignment="1" applyProtection="1">
      <alignment horizontal="center"/>
      <protection hidden="1"/>
    </xf>
    <xf numFmtId="0" fontId="13" fillId="2" borderId="6" xfId="0" applyFont="1" applyFill="1" applyBorder="1" applyAlignment="1" applyProtection="1">
      <alignment horizontal="center" vertical="top" wrapText="1"/>
      <protection hidden="1"/>
    </xf>
    <xf numFmtId="0" fontId="13" fillId="2" borderId="7" xfId="4" applyFont="1" applyFill="1" applyBorder="1" applyProtection="1">
      <protection hidden="1"/>
    </xf>
    <xf numFmtId="0" fontId="13" fillId="2" borderId="4" xfId="4" applyFont="1" applyFill="1" applyBorder="1" applyProtection="1">
      <protection hidden="1"/>
    </xf>
    <xf numFmtId="0" fontId="13" fillId="2" borderId="9" xfId="0" applyFont="1" applyFill="1" applyBorder="1" applyProtection="1">
      <protection hidden="1"/>
    </xf>
    <xf numFmtId="0" fontId="16" fillId="2" borderId="9" xfId="0" applyFont="1" applyFill="1" applyBorder="1" applyAlignment="1" applyProtection="1">
      <alignment horizontal="center"/>
      <protection hidden="1"/>
    </xf>
    <xf numFmtId="0" fontId="16" fillId="2" borderId="8" xfId="0" applyFont="1" applyFill="1" applyBorder="1" applyAlignment="1" applyProtection="1">
      <alignment horizontal="center"/>
      <protection hidden="1"/>
    </xf>
    <xf numFmtId="0" fontId="13" fillId="2" borderId="1" xfId="4" applyFont="1" applyFill="1" applyBorder="1" applyProtection="1">
      <protection hidden="1"/>
    </xf>
    <xf numFmtId="0" fontId="13" fillId="2" borderId="3" xfId="0" applyFont="1" applyFill="1" applyBorder="1" applyProtection="1">
      <protection hidden="1"/>
    </xf>
    <xf numFmtId="0" fontId="16" fillId="2" borderId="3" xfId="0" applyFont="1" applyFill="1" applyBorder="1" applyAlignment="1" applyProtection="1">
      <alignment horizontal="center"/>
      <protection hidden="1"/>
    </xf>
    <xf numFmtId="0" fontId="16" fillId="2" borderId="5" xfId="0" applyFont="1" applyFill="1" applyBorder="1" applyAlignment="1" applyProtection="1">
      <alignment horizontal="center"/>
      <protection hidden="1"/>
    </xf>
    <xf numFmtId="0" fontId="13" fillId="2" borderId="2" xfId="4" applyFont="1" applyFill="1" applyBorder="1" applyProtection="1">
      <protection hidden="1"/>
    </xf>
    <xf numFmtId="0" fontId="13" fillId="2" borderId="6" xfId="0" applyFont="1" applyFill="1" applyBorder="1" applyProtection="1">
      <protection hidden="1"/>
    </xf>
    <xf numFmtId="0" fontId="16" fillId="2" borderId="6" xfId="0" applyFont="1" applyFill="1" applyBorder="1" applyAlignment="1" applyProtection="1">
      <alignment horizontal="center"/>
      <protection hidden="1"/>
    </xf>
    <xf numFmtId="0" fontId="16" fillId="2" borderId="7" xfId="0" applyFont="1" applyFill="1" applyBorder="1" applyAlignment="1" applyProtection="1">
      <alignment horizontal="center"/>
      <protection hidden="1"/>
    </xf>
    <xf numFmtId="0" fontId="13" fillId="2" borderId="31" xfId="4" applyFont="1" applyFill="1" applyBorder="1" applyProtection="1">
      <protection hidden="1"/>
    </xf>
    <xf numFmtId="0" fontId="13" fillId="2" borderId="27" xfId="4" applyFont="1" applyFill="1" applyBorder="1" applyProtection="1">
      <protection hidden="1"/>
    </xf>
    <xf numFmtId="0" fontId="13" fillId="2" borderId="28" xfId="4" applyFont="1" applyFill="1" applyBorder="1" applyProtection="1">
      <protection hidden="1"/>
    </xf>
    <xf numFmtId="0" fontId="10" fillId="3" borderId="32" xfId="5" applyAlignment="1" applyProtection="1">
      <alignment horizontal="right"/>
      <protection locked="0" hidden="1"/>
    </xf>
    <xf numFmtId="0" fontId="10" fillId="3" borderId="40" xfId="5" applyBorder="1" applyAlignment="1" applyProtection="1">
      <alignment horizontal="center" vertical="top"/>
      <protection locked="0" hidden="1"/>
    </xf>
    <xf numFmtId="2" fontId="11" fillId="4" borderId="32" xfId="6" applyNumberFormat="1" applyProtection="1">
      <protection hidden="1"/>
    </xf>
    <xf numFmtId="2" fontId="11" fillId="4" borderId="32" xfId="6" applyNumberFormat="1" applyBorder="1" applyProtection="1">
      <protection hidden="1"/>
    </xf>
    <xf numFmtId="0" fontId="10" fillId="3" borderId="32" xfId="5" applyBorder="1" applyAlignment="1" applyProtection="1">
      <alignment horizontal="right"/>
      <protection locked="0" hidden="1"/>
    </xf>
    <xf numFmtId="2" fontId="10" fillId="3" borderId="32" xfId="5" applyNumberFormat="1" applyProtection="1">
      <protection locked="0" hidden="1"/>
    </xf>
    <xf numFmtId="0" fontId="13" fillId="2" borderId="42" xfId="0" applyFont="1" applyFill="1" applyBorder="1" applyProtection="1">
      <protection hidden="1"/>
    </xf>
    <xf numFmtId="0" fontId="16" fillId="2" borderId="42" xfId="0" applyFont="1" applyFill="1" applyBorder="1" applyAlignment="1" applyProtection="1">
      <alignment horizontal="center"/>
      <protection hidden="1"/>
    </xf>
    <xf numFmtId="0" fontId="16" fillId="2" borderId="43" xfId="0" applyFont="1" applyFill="1" applyBorder="1" applyAlignment="1" applyProtection="1">
      <alignment horizontal="center"/>
      <protection hidden="1"/>
    </xf>
    <xf numFmtId="0" fontId="11" fillId="4" borderId="34" xfId="6" applyBorder="1" applyAlignment="1" applyProtection="1">
      <alignment horizontal="center"/>
      <protection hidden="1"/>
    </xf>
    <xf numFmtId="0" fontId="22" fillId="2" borderId="0" xfId="0" applyFont="1" applyFill="1"/>
    <xf numFmtId="0" fontId="22" fillId="2" borderId="0" xfId="0" applyFont="1" applyFill="1" applyAlignment="1">
      <alignment horizontal="right" vertical="top"/>
    </xf>
    <xf numFmtId="0" fontId="25" fillId="2" borderId="0" xfId="1" applyFont="1" applyFill="1" applyAlignment="1" applyProtection="1"/>
    <xf numFmtId="0" fontId="14" fillId="2" borderId="11" xfId="4" applyFont="1" applyFill="1" applyBorder="1" applyProtection="1">
      <protection hidden="1"/>
    </xf>
    <xf numFmtId="0" fontId="22" fillId="2" borderId="0" xfId="0" applyFont="1" applyFill="1"/>
    <xf numFmtId="0" fontId="10" fillId="3" borderId="36" xfId="5" applyBorder="1" applyProtection="1">
      <protection locked="0" hidden="1"/>
    </xf>
    <xf numFmtId="0" fontId="5"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28" fillId="0" borderId="0" xfId="0" applyFont="1" applyAlignment="1">
      <alignment horizontal="right"/>
    </xf>
    <xf numFmtId="0" fontId="29" fillId="0" borderId="0" xfId="0" applyFont="1"/>
    <xf numFmtId="2" fontId="29" fillId="0" borderId="0" xfId="0" applyNumberFormat="1" applyFont="1"/>
    <xf numFmtId="0" fontId="28" fillId="0" borderId="0" xfId="0" applyFont="1"/>
    <xf numFmtId="0" fontId="29" fillId="0" borderId="0" xfId="0" applyFont="1" applyAlignment="1">
      <alignment horizontal="right"/>
    </xf>
    <xf numFmtId="49" fontId="5" fillId="0" borderId="0" xfId="0" applyNumberFormat="1" applyFont="1" applyAlignment="1">
      <alignment vertical="top"/>
    </xf>
    <xf numFmtId="49" fontId="3" fillId="0" borderId="0" xfId="0" applyNumberFormat="1" applyFont="1" applyAlignment="1">
      <alignment vertical="top"/>
    </xf>
    <xf numFmtId="49" fontId="0" fillId="0" borderId="0" xfId="0" applyNumberFormat="1" applyAlignment="1">
      <alignment vertical="top"/>
    </xf>
    <xf numFmtId="0" fontId="14" fillId="2" borderId="4" xfId="4" applyFont="1" applyFill="1" applyBorder="1" applyAlignment="1" applyProtection="1">
      <alignment horizontal="center" vertical="top" wrapText="1"/>
      <protection hidden="1"/>
    </xf>
    <xf numFmtId="0" fontId="14" fillId="2" borderId="9" xfId="4" applyFont="1" applyFill="1" applyBorder="1" applyAlignment="1" applyProtection="1">
      <alignment horizontal="center" vertical="top" wrapText="1"/>
      <protection hidden="1"/>
    </xf>
    <xf numFmtId="0" fontId="13" fillId="2" borderId="21" xfId="4" applyFont="1" applyFill="1" applyBorder="1" applyAlignment="1" applyProtection="1">
      <alignment horizontal="center"/>
      <protection hidden="1"/>
    </xf>
    <xf numFmtId="0" fontId="13" fillId="2" borderId="22" xfId="4" applyFont="1" applyFill="1" applyBorder="1" applyAlignment="1" applyProtection="1">
      <alignment horizontal="center"/>
      <protection hidden="1"/>
    </xf>
    <xf numFmtId="14" fontId="13" fillId="2" borderId="13" xfId="4" applyNumberFormat="1" applyFont="1" applyFill="1" applyBorder="1" applyAlignment="1" applyProtection="1">
      <alignment horizontal="left"/>
      <protection hidden="1"/>
    </xf>
    <xf numFmtId="14" fontId="13" fillId="2" borderId="14" xfId="4" applyNumberFormat="1" applyFont="1" applyFill="1" applyBorder="1" applyAlignment="1" applyProtection="1">
      <alignment horizontal="left"/>
      <protection hidden="1"/>
    </xf>
    <xf numFmtId="0" fontId="10" fillId="5" borderId="33" xfId="8" applyFont="1" applyBorder="1" applyAlignment="1" applyProtection="1">
      <alignment horizontal="left" vertical="top" shrinkToFit="1"/>
      <protection locked="0" hidden="1"/>
    </xf>
    <xf numFmtId="0" fontId="10" fillId="5" borderId="37" xfId="8" applyFont="1" applyBorder="1" applyAlignment="1" applyProtection="1">
      <alignment horizontal="left" vertical="top" shrinkToFit="1"/>
      <protection locked="0" hidden="1"/>
    </xf>
    <xf numFmtId="49" fontId="10" fillId="5" borderId="33" xfId="8" applyNumberFormat="1" applyFont="1" applyBorder="1" applyAlignment="1" applyProtection="1">
      <alignment horizontal="left" vertical="top" wrapText="1"/>
      <protection locked="0" hidden="1"/>
    </xf>
    <xf numFmtId="49" fontId="10" fillId="5" borderId="37" xfId="8" applyNumberFormat="1" applyFont="1" applyBorder="1" applyAlignment="1" applyProtection="1">
      <alignment horizontal="left" vertical="top" wrapText="1"/>
      <protection locked="0" hidden="1"/>
    </xf>
    <xf numFmtId="49" fontId="10" fillId="5" borderId="38" xfId="8" applyNumberFormat="1" applyFont="1" applyBorder="1" applyAlignment="1" applyProtection="1">
      <alignment horizontal="left" vertical="top" wrapText="1"/>
      <protection locked="0" hidden="1"/>
    </xf>
    <xf numFmtId="49" fontId="10" fillId="5" borderId="39" xfId="8" applyNumberFormat="1" applyFont="1" applyBorder="1" applyAlignment="1" applyProtection="1">
      <alignment horizontal="left" vertical="top" wrapText="1"/>
      <protection locked="0" hidden="1"/>
    </xf>
    <xf numFmtId="0" fontId="14" fillId="2" borderId="23" xfId="4" applyFont="1" applyFill="1" applyBorder="1" applyAlignment="1" applyProtection="1">
      <alignment horizontal="center"/>
      <protection hidden="1"/>
    </xf>
    <xf numFmtId="0" fontId="14" fillId="2" borderId="24" xfId="4" applyFont="1" applyFill="1" applyBorder="1" applyAlignment="1" applyProtection="1">
      <alignment horizontal="center"/>
      <protection hidden="1"/>
    </xf>
    <xf numFmtId="0" fontId="14" fillId="2" borderId="25" xfId="4" applyFont="1" applyFill="1" applyBorder="1" applyAlignment="1" applyProtection="1">
      <alignment horizontal="center"/>
      <protection hidden="1"/>
    </xf>
    <xf numFmtId="0" fontId="26" fillId="2" borderId="15" xfId="4" applyFont="1" applyFill="1" applyBorder="1" applyAlignment="1" applyProtection="1">
      <alignment horizontal="center"/>
      <protection hidden="1"/>
    </xf>
    <xf numFmtId="0" fontId="27" fillId="2" borderId="13" xfId="4" applyFont="1" applyFill="1" applyBorder="1" applyAlignment="1" applyProtection="1">
      <alignment horizontal="center" wrapText="1"/>
      <protection hidden="1"/>
    </xf>
    <xf numFmtId="0" fontId="27" fillId="2" borderId="0" xfId="4" applyFont="1" applyFill="1" applyBorder="1" applyAlignment="1" applyProtection="1">
      <alignment horizontal="center" wrapText="1"/>
      <protection hidden="1"/>
    </xf>
    <xf numFmtId="0" fontId="13" fillId="2" borderId="17" xfId="4" applyFont="1" applyFill="1" applyBorder="1" applyAlignment="1" applyProtection="1">
      <alignment horizontal="center" vertical="center" textRotation="90"/>
      <protection hidden="1"/>
    </xf>
    <xf numFmtId="0" fontId="13" fillId="2" borderId="18" xfId="4" applyFont="1" applyFill="1" applyBorder="1" applyAlignment="1" applyProtection="1">
      <alignment horizontal="center" vertical="center" textRotation="90"/>
      <protection hidden="1"/>
    </xf>
    <xf numFmtId="0" fontId="13" fillId="2" borderId="19" xfId="4" applyFont="1" applyFill="1" applyBorder="1" applyAlignment="1" applyProtection="1">
      <alignment horizontal="center" vertical="center" textRotation="90"/>
      <protection hidden="1"/>
    </xf>
    <xf numFmtId="0" fontId="11" fillId="4" borderId="34" xfId="6" applyNumberFormat="1" applyBorder="1" applyAlignment="1" applyProtection="1">
      <alignment horizontal="center" vertical="center"/>
      <protection hidden="1"/>
    </xf>
    <xf numFmtId="0" fontId="11" fillId="4" borderId="32" xfId="6" applyNumberFormat="1" applyBorder="1" applyAlignment="1" applyProtection="1">
      <alignment horizontal="center" vertical="center"/>
      <protection hidden="1"/>
    </xf>
    <xf numFmtId="0" fontId="11" fillId="4" borderId="36" xfId="6" applyNumberFormat="1" applyBorder="1" applyAlignment="1" applyProtection="1">
      <alignment horizontal="center" vertical="center"/>
      <protection hidden="1"/>
    </xf>
    <xf numFmtId="0" fontId="11" fillId="4" borderId="41" xfId="6" applyNumberFormat="1" applyBorder="1" applyAlignment="1" applyProtection="1">
      <alignment horizontal="center" vertical="center"/>
      <protection hidden="1"/>
    </xf>
    <xf numFmtId="0" fontId="11" fillId="4" borderId="32" xfId="6" applyBorder="1" applyAlignment="1" applyProtection="1">
      <alignment horizontal="center" vertical="center"/>
      <protection hidden="1"/>
    </xf>
    <xf numFmtId="0" fontId="11" fillId="4" borderId="36" xfId="6" applyBorder="1" applyAlignment="1" applyProtection="1">
      <alignment horizontal="center" vertical="center"/>
      <protection hidden="1"/>
    </xf>
    <xf numFmtId="0" fontId="13" fillId="2" borderId="0" xfId="4" applyFont="1" applyFill="1" applyAlignment="1" applyProtection="1">
      <alignment horizontal="center"/>
      <protection hidden="1"/>
    </xf>
    <xf numFmtId="0" fontId="14" fillId="2" borderId="10" xfId="4" applyFont="1" applyFill="1" applyBorder="1" applyAlignment="1" applyProtection="1">
      <alignment horizontal="center" vertical="center" wrapText="1"/>
      <protection hidden="1"/>
    </xf>
    <xf numFmtId="0" fontId="14" fillId="2" borderId="11" xfId="4" applyFont="1" applyFill="1" applyBorder="1" applyAlignment="1" applyProtection="1">
      <alignment horizontal="center" vertical="center" wrapText="1"/>
      <protection hidden="1"/>
    </xf>
    <xf numFmtId="0" fontId="14" fillId="2" borderId="12" xfId="4" applyFont="1" applyFill="1" applyBorder="1" applyAlignment="1" applyProtection="1">
      <alignment horizontal="center" vertical="center" wrapText="1"/>
      <protection hidden="1"/>
    </xf>
    <xf numFmtId="0" fontId="14" fillId="2" borderId="0" xfId="4" applyFont="1" applyFill="1" applyAlignment="1" applyProtection="1">
      <alignment horizontal="center" vertical="center" wrapText="1"/>
      <protection hidden="1"/>
    </xf>
    <xf numFmtId="0" fontId="14" fillId="2" borderId="0" xfId="4" applyFont="1" applyFill="1" applyAlignment="1" applyProtection="1">
      <alignment horizontal="center"/>
      <protection hidden="1"/>
    </xf>
    <xf numFmtId="0" fontId="14" fillId="2" borderId="17" xfId="4" applyFont="1" applyFill="1" applyBorder="1" applyAlignment="1" applyProtection="1">
      <alignment horizontal="center" vertical="center" textRotation="90"/>
      <protection hidden="1"/>
    </xf>
    <xf numFmtId="0" fontId="14" fillId="2" borderId="18" xfId="4" applyFont="1" applyFill="1" applyBorder="1" applyAlignment="1" applyProtection="1">
      <alignment horizontal="center" vertical="center" textRotation="90"/>
      <protection hidden="1"/>
    </xf>
    <xf numFmtId="0" fontId="14" fillId="2" borderId="19" xfId="4" applyFont="1" applyFill="1" applyBorder="1" applyAlignment="1" applyProtection="1">
      <alignment horizontal="center" vertical="center" textRotation="90"/>
      <protection hidden="1"/>
    </xf>
    <xf numFmtId="0" fontId="11" fillId="4" borderId="41" xfId="6" applyBorder="1" applyAlignment="1" applyProtection="1">
      <alignment horizontal="center" vertical="center"/>
      <protection hidden="1"/>
    </xf>
    <xf numFmtId="0" fontId="17" fillId="2" borderId="10" xfId="4" applyFont="1" applyFill="1" applyBorder="1" applyAlignment="1" applyProtection="1">
      <alignment horizontal="center" vertical="center"/>
      <protection hidden="1"/>
    </xf>
    <xf numFmtId="0" fontId="17" fillId="2" borderId="14" xfId="4" applyFont="1" applyFill="1" applyBorder="1" applyAlignment="1" applyProtection="1">
      <alignment horizontal="center" vertical="center"/>
      <protection hidden="1"/>
    </xf>
    <xf numFmtId="0" fontId="17" fillId="2" borderId="11" xfId="4" applyFont="1" applyFill="1" applyBorder="1" applyAlignment="1" applyProtection="1">
      <alignment horizontal="center" vertical="center"/>
      <protection hidden="1"/>
    </xf>
    <xf numFmtId="0" fontId="17" fillId="2" borderId="20" xfId="4" applyFont="1" applyFill="1" applyBorder="1" applyAlignment="1" applyProtection="1">
      <alignment horizontal="center" vertical="center"/>
      <protection hidden="1"/>
    </xf>
    <xf numFmtId="0" fontId="12" fillId="2" borderId="11" xfId="7" applyFill="1" applyBorder="1" applyAlignment="1" applyProtection="1">
      <alignment horizontal="center" vertical="top" wrapText="1"/>
      <protection hidden="1"/>
    </xf>
    <xf numFmtId="0" fontId="12" fillId="2" borderId="20" xfId="7" applyFill="1" applyBorder="1" applyAlignment="1" applyProtection="1">
      <alignment horizontal="center" vertical="top" wrapText="1"/>
      <protection hidden="1"/>
    </xf>
    <xf numFmtId="0" fontId="12" fillId="2" borderId="12" xfId="7" applyFill="1" applyBorder="1" applyAlignment="1" applyProtection="1">
      <alignment horizontal="center" vertical="top" wrapText="1"/>
      <protection hidden="1"/>
    </xf>
    <xf numFmtId="0" fontId="12" fillId="2" borderId="16" xfId="7" applyFill="1" applyBorder="1" applyAlignment="1" applyProtection="1">
      <alignment horizontal="center" vertical="top" wrapText="1"/>
      <protection hidden="1"/>
    </xf>
    <xf numFmtId="49" fontId="22" fillId="2" borderId="0" xfId="0" applyNumberFormat="1" applyFont="1" applyFill="1" applyAlignment="1">
      <alignment vertical="top" wrapText="1"/>
    </xf>
    <xf numFmtId="49" fontId="21" fillId="0" borderId="0" xfId="0" applyNumberFormat="1" applyFont="1" applyAlignment="1">
      <alignment wrapText="1"/>
    </xf>
    <xf numFmtId="49" fontId="22" fillId="2" borderId="0" xfId="0" applyNumberFormat="1" applyFont="1" applyFill="1" applyAlignment="1">
      <alignment wrapText="1"/>
    </xf>
    <xf numFmtId="0" fontId="18" fillId="2" borderId="0" xfId="0" applyFont="1" applyFill="1" applyAlignment="1"/>
    <xf numFmtId="0" fontId="20" fillId="2" borderId="0" xfId="0" applyFont="1" applyFill="1" applyAlignment="1"/>
    <xf numFmtId="0" fontId="21" fillId="0" borderId="0" xfId="0" applyFont="1" applyAlignment="1"/>
    <xf numFmtId="0" fontId="22" fillId="2" borderId="0" xfId="0" applyFont="1" applyFill="1" applyAlignment="1">
      <alignment vertical="top" wrapText="1"/>
    </xf>
    <xf numFmtId="0" fontId="24" fillId="2" borderId="0" xfId="0" applyFont="1" applyFill="1" applyAlignment="1">
      <alignment vertical="top" wrapText="1"/>
    </xf>
    <xf numFmtId="0" fontId="22" fillId="2" borderId="0" xfId="0" applyFont="1" applyFill="1" applyAlignment="1">
      <alignment wrapText="1"/>
    </xf>
    <xf numFmtId="0" fontId="22" fillId="2" borderId="0" xfId="0" applyFont="1" applyFill="1"/>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10" xfId="4" applyFont="1" applyBorder="1" applyAlignment="1">
      <alignment horizontal="center"/>
    </xf>
    <xf numFmtId="0" fontId="3" fillId="0" borderId="13" xfId="4" applyFont="1" applyBorder="1" applyAlignment="1">
      <alignment horizontal="center"/>
    </xf>
    <xf numFmtId="0" fontId="3" fillId="0" borderId="14" xfId="4" applyFont="1" applyBorder="1" applyAlignment="1">
      <alignment horizontal="center"/>
    </xf>
    <xf numFmtId="0" fontId="3" fillId="0" borderId="10" xfId="0" applyFont="1" applyBorder="1" applyAlignment="1">
      <alignment horizontal="center"/>
    </xf>
    <xf numFmtId="0" fontId="3" fillId="0" borderId="0" xfId="2" applyFont="1" applyAlignment="1">
      <alignment horizontal="center"/>
    </xf>
    <xf numFmtId="49" fontId="3" fillId="0" borderId="0" xfId="3" applyNumberFormat="1" applyBorder="1" applyAlignment="1">
      <alignment horizontal="center"/>
    </xf>
    <xf numFmtId="49" fontId="1" fillId="0" borderId="0" xfId="0" applyNumberFormat="1" applyFont="1" applyAlignment="1">
      <alignment vertical="top"/>
    </xf>
    <xf numFmtId="0" fontId="1" fillId="0" borderId="0" xfId="0" applyFont="1" applyAlignment="1">
      <alignment vertical="top" wrapText="1"/>
    </xf>
  </cellXfs>
  <cellStyles count="9">
    <cellStyle name="Berechnung" xfId="6" builtinId="22"/>
    <cellStyle name="Eingabe" xfId="5" builtinId="20"/>
    <cellStyle name="Link" xfId="1" builtinId="8"/>
    <cellStyle name="Notiz" xfId="8" builtinId="10"/>
    <cellStyle name="Standard" xfId="0" builtinId="0"/>
    <cellStyle name="Standard_Excel_CA_jeanData_2012-07-27_11-41-52_mwahl" xfId="2"/>
    <cellStyle name="Standard_Excel_CA_jeanData_2012-07-27_12-50-31_mwahl" xfId="3"/>
    <cellStyle name="Standard_Mappe1" xfId="4"/>
    <cellStyle name="Warnender Text" xfId="7" builtinId="11"/>
  </cellStyles>
  <dxfs count="7">
    <dxf>
      <font>
        <color rgb="FFC00000"/>
      </font>
    </dxf>
    <dxf>
      <font>
        <color rgb="FFC00000"/>
      </font>
    </dxf>
    <dxf>
      <font>
        <color theme="0" tint="-4.9989318521683403E-2"/>
      </font>
    </dxf>
    <dxf>
      <font>
        <color theme="0"/>
      </font>
      <fill>
        <patternFill>
          <bgColor theme="0"/>
        </patternFill>
      </fill>
    </dxf>
    <dxf>
      <font>
        <color theme="0"/>
      </font>
    </dxf>
    <dxf>
      <font>
        <condense val="0"/>
        <extend val="0"/>
        <color indexed="22"/>
      </font>
      <fill>
        <patternFill>
          <bgColor indexed="22"/>
        </patternFill>
      </fill>
    </dxf>
    <dxf>
      <font>
        <condense val="0"/>
        <extend val="0"/>
        <color indexed="9"/>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2</xdr:col>
      <xdr:colOff>619686</xdr:colOff>
      <xdr:row>9</xdr:row>
      <xdr:rowOff>146188</xdr:rowOff>
    </xdr:from>
    <xdr:to>
      <xdr:col>8</xdr:col>
      <xdr:colOff>407334</xdr:colOff>
      <xdr:row>24</xdr:row>
      <xdr:rowOff>51352</xdr:rowOff>
    </xdr:to>
    <xdr:grpSp>
      <xdr:nvGrpSpPr>
        <xdr:cNvPr id="11712" name="Group 1"/>
        <xdr:cNvGrpSpPr>
          <a:grpSpLocks/>
        </xdr:cNvGrpSpPr>
      </xdr:nvGrpSpPr>
      <xdr:grpSpPr bwMode="auto">
        <a:xfrm>
          <a:off x="1399004" y="1878006"/>
          <a:ext cx="3674618" cy="2839634"/>
          <a:chOff x="280" y="1488"/>
          <a:chExt cx="2016" cy="1488"/>
        </a:xfrm>
      </xdr:grpSpPr>
      <xdr:grpSp>
        <xdr:nvGrpSpPr>
          <xdr:cNvPr id="11714" name="Group 2"/>
          <xdr:cNvGrpSpPr>
            <a:grpSpLocks/>
          </xdr:cNvGrpSpPr>
        </xdr:nvGrpSpPr>
        <xdr:grpSpPr bwMode="auto">
          <a:xfrm>
            <a:off x="472" y="1488"/>
            <a:ext cx="480" cy="511"/>
            <a:chOff x="472" y="1488"/>
            <a:chExt cx="480" cy="511"/>
          </a:xfrm>
        </xdr:grpSpPr>
        <xdr:sp macro="" textlink="">
          <xdr:nvSpPr>
            <xdr:cNvPr id="11739" name="Rectangle 3"/>
            <xdr:cNvSpPr>
              <a:spLocks noChangeArrowheads="1"/>
            </xdr:cNvSpPr>
          </xdr:nvSpPr>
          <xdr:spPr bwMode="auto">
            <a:xfrm>
              <a:off x="472" y="1488"/>
              <a:ext cx="480" cy="480"/>
            </a:xfrm>
            <a:prstGeom prst="rect">
              <a:avLst/>
            </a:prstGeom>
            <a:noFill/>
            <a:ln w="19050">
              <a:solidFill>
                <a:srgbClr val="000000"/>
              </a:solidFill>
              <a:miter lim="800000"/>
              <a:headEnd/>
              <a:tailEnd/>
            </a:ln>
            <a:effectLst/>
            <a:extLst>
              <a:ext uri="{909E8E84-426E-40DD-AFC4-6F175D3DCCD1}">
                <a14:hiddenFill xmlns:a14="http://schemas.microsoft.com/office/drawing/2010/main">
                  <a:solidFill>
                    <a:srgbClr val="FEC35A"/>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40" name="Line 4"/>
            <xdr:cNvSpPr>
              <a:spLocks noChangeShapeType="1"/>
            </xdr:cNvSpPr>
          </xdr:nvSpPr>
          <xdr:spPr bwMode="auto">
            <a:xfrm flipV="1">
              <a:off x="472" y="1488"/>
              <a:ext cx="480" cy="48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9" name="Text Box 5"/>
            <xdr:cNvSpPr txBox="1">
              <a:spLocks noChangeArrowheads="1"/>
            </xdr:cNvSpPr>
          </xdr:nvSpPr>
          <xdr:spPr bwMode="auto">
            <a:xfrm>
              <a:off x="494" y="1554"/>
              <a:ext cx="199" cy="235"/>
            </a:xfrm>
            <a:prstGeom prst="rect">
              <a:avLst/>
            </a:prstGeom>
            <a:noFill/>
            <a:ln>
              <a:noFill/>
            </a:ln>
            <a:effectLst/>
            <a:extLst>
              <a:ext uri="{909E8E84-426E-40DD-AFC4-6F175D3DCCD1}">
                <a14:hiddenFill xmlns:a14="http://schemas.microsoft.com/office/drawing/2010/main">
                  <a:solidFill>
                    <a:srgbClr val="FEC35A"/>
                  </a:solidFill>
                </a14:hiddenFill>
              </a:ext>
              <a:ext uri="{91240B29-F687-4F45-9708-019B960494DF}">
                <a14:hiddenLine xmlns:a14="http://schemas.microsoft.com/office/drawing/2010/main" w="19050">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0" tIns="45720" rIns="91440" bIns="45720" anchor="t" upright="1">
              <a:spAutoFit/>
            </a:bodyPr>
            <a:lstStyle/>
            <a:p>
              <a:pPr algn="l" rtl="0">
                <a:lnSpc>
                  <a:spcPts val="1700"/>
                </a:lnSpc>
                <a:defRPr sz="1000"/>
              </a:pPr>
              <a:r>
                <a:rPr lang="de-DE" sz="2400" b="0" i="0" u="none" strike="noStrike" baseline="0">
                  <a:solidFill>
                    <a:srgbClr val="000000"/>
                  </a:solidFill>
                  <a:latin typeface="Arial"/>
                  <a:cs typeface="Arial"/>
                </a:rPr>
                <a:t>~</a:t>
              </a:r>
            </a:p>
            <a:p>
              <a:pPr algn="l" rtl="0">
                <a:lnSpc>
                  <a:spcPts val="900"/>
                </a:lnSpc>
                <a:defRPr sz="1000"/>
              </a:pPr>
              <a:endParaRPr lang="de-DE"/>
            </a:p>
          </xdr:txBody>
        </xdr:sp>
        <xdr:sp macro="" textlink="">
          <xdr:nvSpPr>
            <xdr:cNvPr id="1030" name="Text Box 6"/>
            <xdr:cNvSpPr txBox="1">
              <a:spLocks noChangeArrowheads="1"/>
            </xdr:cNvSpPr>
          </xdr:nvSpPr>
          <xdr:spPr bwMode="auto">
            <a:xfrm>
              <a:off x="727" y="1764"/>
              <a:ext cx="199" cy="235"/>
            </a:xfrm>
            <a:prstGeom prst="rect">
              <a:avLst/>
            </a:prstGeom>
            <a:noFill/>
            <a:ln>
              <a:noFill/>
            </a:ln>
            <a:effectLst/>
            <a:extLst>
              <a:ext uri="{909E8E84-426E-40DD-AFC4-6F175D3DCCD1}">
                <a14:hiddenFill xmlns:a14="http://schemas.microsoft.com/office/drawing/2010/main">
                  <a:solidFill>
                    <a:srgbClr val="FEC35A"/>
                  </a:solidFill>
                </a14:hiddenFill>
              </a:ext>
              <a:ext uri="{91240B29-F687-4F45-9708-019B960494DF}">
                <a14:hiddenLine xmlns:a14="http://schemas.microsoft.com/office/drawing/2010/main" w="19050">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0" tIns="45720" rIns="91440" bIns="45720" anchor="t" upright="1">
              <a:spAutoFit/>
            </a:bodyPr>
            <a:lstStyle/>
            <a:p>
              <a:pPr algn="l" rtl="0">
                <a:lnSpc>
                  <a:spcPts val="1700"/>
                </a:lnSpc>
                <a:defRPr sz="1000"/>
              </a:pPr>
              <a:r>
                <a:rPr lang="de-DE" sz="2400" b="0" i="0" u="none" strike="noStrike" baseline="0">
                  <a:solidFill>
                    <a:srgbClr val="000000"/>
                  </a:solidFill>
                  <a:latin typeface="Arial"/>
                  <a:cs typeface="Arial"/>
                </a:rPr>
                <a:t>=</a:t>
              </a:r>
            </a:p>
            <a:p>
              <a:pPr algn="l" rtl="0">
                <a:lnSpc>
                  <a:spcPts val="900"/>
                </a:lnSpc>
                <a:defRPr sz="1000"/>
              </a:pPr>
              <a:endParaRPr lang="de-DE"/>
            </a:p>
          </xdr:txBody>
        </xdr:sp>
      </xdr:grpSp>
      <xdr:sp macro="" textlink="">
        <xdr:nvSpPr>
          <xdr:cNvPr id="11715" name="Line 7"/>
          <xdr:cNvSpPr>
            <a:spLocks noChangeShapeType="1"/>
          </xdr:cNvSpPr>
        </xdr:nvSpPr>
        <xdr:spPr bwMode="auto">
          <a:xfrm>
            <a:off x="280" y="1728"/>
            <a:ext cx="192"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16" name="Line 8"/>
          <xdr:cNvSpPr>
            <a:spLocks noChangeShapeType="1"/>
          </xdr:cNvSpPr>
        </xdr:nvSpPr>
        <xdr:spPr bwMode="auto">
          <a:xfrm>
            <a:off x="952" y="1728"/>
            <a:ext cx="672"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11717" name="Group 9"/>
          <xdr:cNvGrpSpPr>
            <a:grpSpLocks/>
          </xdr:cNvGrpSpPr>
        </xdr:nvGrpSpPr>
        <xdr:grpSpPr bwMode="auto">
          <a:xfrm>
            <a:off x="1624" y="1488"/>
            <a:ext cx="480" cy="485"/>
            <a:chOff x="1624" y="1488"/>
            <a:chExt cx="480" cy="485"/>
          </a:xfrm>
        </xdr:grpSpPr>
        <xdr:sp macro="" textlink="">
          <xdr:nvSpPr>
            <xdr:cNvPr id="11735" name="Rectangle 10"/>
            <xdr:cNvSpPr>
              <a:spLocks noChangeArrowheads="1"/>
            </xdr:cNvSpPr>
          </xdr:nvSpPr>
          <xdr:spPr bwMode="auto">
            <a:xfrm>
              <a:off x="1624" y="1488"/>
              <a:ext cx="480" cy="480"/>
            </a:xfrm>
            <a:prstGeom prst="rect">
              <a:avLst/>
            </a:prstGeom>
            <a:noFill/>
            <a:ln w="19050">
              <a:solidFill>
                <a:srgbClr val="000000"/>
              </a:solidFill>
              <a:miter lim="800000"/>
              <a:headEnd/>
              <a:tailEnd/>
            </a:ln>
            <a:effectLst/>
            <a:extLst>
              <a:ext uri="{909E8E84-426E-40DD-AFC4-6F175D3DCCD1}">
                <a14:hiddenFill xmlns:a14="http://schemas.microsoft.com/office/drawing/2010/main">
                  <a:solidFill>
                    <a:srgbClr val="FEC35A"/>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36" name="Line 11"/>
            <xdr:cNvSpPr>
              <a:spLocks noChangeShapeType="1"/>
            </xdr:cNvSpPr>
          </xdr:nvSpPr>
          <xdr:spPr bwMode="auto">
            <a:xfrm flipV="1">
              <a:off x="1624" y="1488"/>
              <a:ext cx="480" cy="48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6" name="Text Box 12"/>
            <xdr:cNvSpPr txBox="1">
              <a:spLocks noChangeArrowheads="1"/>
            </xdr:cNvSpPr>
          </xdr:nvSpPr>
          <xdr:spPr bwMode="auto">
            <a:xfrm>
              <a:off x="1655" y="1554"/>
              <a:ext cx="199" cy="235"/>
            </a:xfrm>
            <a:prstGeom prst="rect">
              <a:avLst/>
            </a:prstGeom>
            <a:noFill/>
            <a:ln>
              <a:noFill/>
            </a:ln>
            <a:effectLst/>
            <a:extLst>
              <a:ext uri="{909E8E84-426E-40DD-AFC4-6F175D3DCCD1}">
                <a14:hiddenFill xmlns:a14="http://schemas.microsoft.com/office/drawing/2010/main">
                  <a:solidFill>
                    <a:srgbClr val="FEC35A"/>
                  </a:solidFill>
                </a14:hiddenFill>
              </a:ext>
              <a:ext uri="{91240B29-F687-4F45-9708-019B960494DF}">
                <a14:hiddenLine xmlns:a14="http://schemas.microsoft.com/office/drawing/2010/main" w="19050">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0" tIns="45720" rIns="91440" bIns="45720" anchor="t" upright="1">
              <a:spAutoFit/>
            </a:bodyPr>
            <a:lstStyle/>
            <a:p>
              <a:pPr algn="l" rtl="0">
                <a:lnSpc>
                  <a:spcPts val="1700"/>
                </a:lnSpc>
                <a:defRPr sz="1000"/>
              </a:pPr>
              <a:r>
                <a:rPr lang="de-DE" sz="2400" b="0" i="0" u="none" strike="noStrike" baseline="0">
                  <a:solidFill>
                    <a:srgbClr val="000000"/>
                  </a:solidFill>
                  <a:latin typeface="Arial"/>
                  <a:cs typeface="Arial"/>
                </a:rPr>
                <a:t>=</a:t>
              </a:r>
            </a:p>
            <a:p>
              <a:pPr algn="l" rtl="0">
                <a:lnSpc>
                  <a:spcPts val="900"/>
                </a:lnSpc>
                <a:defRPr sz="1000"/>
              </a:pPr>
              <a:endParaRPr lang="de-DE"/>
            </a:p>
          </xdr:txBody>
        </xdr:sp>
        <xdr:sp macro="" textlink="">
          <xdr:nvSpPr>
            <xdr:cNvPr id="1037" name="Text Box 13"/>
            <xdr:cNvSpPr txBox="1">
              <a:spLocks noChangeArrowheads="1"/>
            </xdr:cNvSpPr>
          </xdr:nvSpPr>
          <xdr:spPr bwMode="auto">
            <a:xfrm>
              <a:off x="1859" y="1738"/>
              <a:ext cx="199" cy="235"/>
            </a:xfrm>
            <a:prstGeom prst="rect">
              <a:avLst/>
            </a:prstGeom>
            <a:noFill/>
            <a:ln>
              <a:noFill/>
            </a:ln>
            <a:effectLst/>
            <a:extLst>
              <a:ext uri="{909E8E84-426E-40DD-AFC4-6F175D3DCCD1}">
                <a14:hiddenFill xmlns:a14="http://schemas.microsoft.com/office/drawing/2010/main">
                  <a:solidFill>
                    <a:srgbClr val="FEC35A"/>
                  </a:solidFill>
                </a14:hiddenFill>
              </a:ext>
              <a:ext uri="{91240B29-F687-4F45-9708-019B960494DF}">
                <a14:hiddenLine xmlns:a14="http://schemas.microsoft.com/office/drawing/2010/main" w="19050">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0" tIns="45720" rIns="91440" bIns="45720" anchor="t" upright="1">
              <a:spAutoFit/>
            </a:bodyPr>
            <a:lstStyle/>
            <a:p>
              <a:pPr algn="l" rtl="0">
                <a:lnSpc>
                  <a:spcPts val="1700"/>
                </a:lnSpc>
                <a:defRPr sz="1000"/>
              </a:pPr>
              <a:r>
                <a:rPr lang="de-DE" sz="2400" b="0" i="0" u="none" strike="noStrike" baseline="0">
                  <a:solidFill>
                    <a:srgbClr val="000000"/>
                  </a:solidFill>
                  <a:latin typeface="Arial"/>
                  <a:cs typeface="Arial"/>
                </a:rPr>
                <a:t>~</a:t>
              </a:r>
            </a:p>
            <a:p>
              <a:pPr algn="l" rtl="0">
                <a:lnSpc>
                  <a:spcPts val="900"/>
                </a:lnSpc>
                <a:defRPr sz="1000"/>
              </a:pPr>
              <a:endParaRPr lang="de-DE"/>
            </a:p>
          </xdr:txBody>
        </xdr:sp>
      </xdr:grpSp>
      <xdr:sp macro="" textlink="">
        <xdr:nvSpPr>
          <xdr:cNvPr id="11718" name="Line 14"/>
          <xdr:cNvSpPr>
            <a:spLocks noChangeShapeType="1"/>
          </xdr:cNvSpPr>
        </xdr:nvSpPr>
        <xdr:spPr bwMode="auto">
          <a:xfrm>
            <a:off x="2104" y="1728"/>
            <a:ext cx="192"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19" name="Line 15"/>
          <xdr:cNvSpPr>
            <a:spLocks noChangeShapeType="1"/>
          </xdr:cNvSpPr>
        </xdr:nvSpPr>
        <xdr:spPr bwMode="auto">
          <a:xfrm>
            <a:off x="1288" y="1728"/>
            <a:ext cx="0" cy="336"/>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20" name="Oval 16"/>
          <xdr:cNvSpPr>
            <a:spLocks noChangeArrowheads="1"/>
          </xdr:cNvSpPr>
        </xdr:nvSpPr>
        <xdr:spPr bwMode="auto">
          <a:xfrm>
            <a:off x="1264" y="2064"/>
            <a:ext cx="48" cy="48"/>
          </a:xfrm>
          <a:prstGeom prst="ellipse">
            <a:avLst/>
          </a:prstGeom>
          <a:noFill/>
          <a:ln w="19050">
            <a:solidFill>
              <a:srgbClr val="000000"/>
            </a:solidFill>
            <a:round/>
            <a:headEnd/>
            <a:tailEnd/>
          </a:ln>
          <a:effectLst/>
          <a:extLst>
            <a:ext uri="{909E8E84-426E-40DD-AFC4-6F175D3DCCD1}">
              <a14:hiddenFill xmlns:a14="http://schemas.microsoft.com/office/drawing/2010/main">
                <a:solidFill>
                  <a:srgbClr val="FEC35A"/>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21" name="Line 17"/>
          <xdr:cNvSpPr>
            <a:spLocks noChangeShapeType="1"/>
          </xdr:cNvSpPr>
        </xdr:nvSpPr>
        <xdr:spPr bwMode="auto">
          <a:xfrm>
            <a:off x="1240" y="2064"/>
            <a:ext cx="96"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11722" name="Group 18"/>
          <xdr:cNvGrpSpPr>
            <a:grpSpLocks/>
          </xdr:cNvGrpSpPr>
        </xdr:nvGrpSpPr>
        <xdr:grpSpPr bwMode="auto">
          <a:xfrm rot="1252465">
            <a:off x="1318" y="2078"/>
            <a:ext cx="96" cy="432"/>
            <a:chOff x="4176" y="3120"/>
            <a:chExt cx="96" cy="432"/>
          </a:xfrm>
        </xdr:grpSpPr>
        <xdr:sp macro="" textlink="">
          <xdr:nvSpPr>
            <xdr:cNvPr id="11733" name="Rectangle 19"/>
            <xdr:cNvSpPr>
              <a:spLocks noChangeArrowheads="1"/>
            </xdr:cNvSpPr>
          </xdr:nvSpPr>
          <xdr:spPr bwMode="auto">
            <a:xfrm>
              <a:off x="4176" y="3216"/>
              <a:ext cx="96" cy="240"/>
            </a:xfrm>
            <a:prstGeom prst="rect">
              <a:avLst/>
            </a:prstGeom>
            <a:noFill/>
            <a:ln w="19050">
              <a:solidFill>
                <a:srgbClr val="000000"/>
              </a:solidFill>
              <a:miter lim="800000"/>
              <a:headEnd/>
              <a:tailEnd/>
            </a:ln>
            <a:effectLst/>
            <a:extLst>
              <a:ext uri="{909E8E84-426E-40DD-AFC4-6F175D3DCCD1}">
                <a14:hiddenFill xmlns:a14="http://schemas.microsoft.com/office/drawing/2010/main">
                  <a:solidFill>
                    <a:srgbClr val="FEC35A"/>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34" name="Line 20"/>
            <xdr:cNvSpPr>
              <a:spLocks noChangeShapeType="1"/>
            </xdr:cNvSpPr>
          </xdr:nvSpPr>
          <xdr:spPr bwMode="auto">
            <a:xfrm>
              <a:off x="4224" y="3120"/>
              <a:ext cx="0" cy="432"/>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1723" name="Group 21"/>
          <xdr:cNvGrpSpPr>
            <a:grpSpLocks/>
          </xdr:cNvGrpSpPr>
        </xdr:nvGrpSpPr>
        <xdr:grpSpPr bwMode="auto">
          <a:xfrm>
            <a:off x="1144" y="2496"/>
            <a:ext cx="288" cy="240"/>
            <a:chOff x="1144" y="2496"/>
            <a:chExt cx="288" cy="240"/>
          </a:xfrm>
        </xdr:grpSpPr>
        <xdr:sp macro="" textlink="">
          <xdr:nvSpPr>
            <xdr:cNvPr id="11729" name="Line 22"/>
            <xdr:cNvSpPr>
              <a:spLocks noChangeShapeType="1"/>
            </xdr:cNvSpPr>
          </xdr:nvSpPr>
          <xdr:spPr bwMode="auto">
            <a:xfrm flipV="1">
              <a:off x="1288" y="2496"/>
              <a:ext cx="0" cy="96"/>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30" name="Line 23"/>
            <xdr:cNvSpPr>
              <a:spLocks noChangeShapeType="1"/>
            </xdr:cNvSpPr>
          </xdr:nvSpPr>
          <xdr:spPr bwMode="auto">
            <a:xfrm>
              <a:off x="1144" y="2592"/>
              <a:ext cx="288"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31" name="Line 24"/>
            <xdr:cNvSpPr>
              <a:spLocks noChangeShapeType="1"/>
            </xdr:cNvSpPr>
          </xdr:nvSpPr>
          <xdr:spPr bwMode="auto">
            <a:xfrm>
              <a:off x="1192" y="2640"/>
              <a:ext cx="192" cy="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32" name="Line 25"/>
            <xdr:cNvSpPr>
              <a:spLocks noChangeShapeType="1"/>
            </xdr:cNvSpPr>
          </xdr:nvSpPr>
          <xdr:spPr bwMode="auto">
            <a:xfrm>
              <a:off x="1288" y="2640"/>
              <a:ext cx="0" cy="96"/>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1724" name="Group 26"/>
          <xdr:cNvGrpSpPr>
            <a:grpSpLocks/>
          </xdr:cNvGrpSpPr>
        </xdr:nvGrpSpPr>
        <xdr:grpSpPr bwMode="auto">
          <a:xfrm>
            <a:off x="1144" y="2736"/>
            <a:ext cx="288" cy="240"/>
            <a:chOff x="1144" y="2736"/>
            <a:chExt cx="288" cy="240"/>
          </a:xfrm>
        </xdr:grpSpPr>
        <xdr:sp macro="" textlink="">
          <xdr:nvSpPr>
            <xdr:cNvPr id="11725" name="Line 27"/>
            <xdr:cNvSpPr>
              <a:spLocks noChangeShapeType="1"/>
            </xdr:cNvSpPr>
          </xdr:nvSpPr>
          <xdr:spPr bwMode="auto">
            <a:xfrm flipV="1">
              <a:off x="1288" y="2736"/>
              <a:ext cx="0" cy="96"/>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26" name="Line 28"/>
            <xdr:cNvSpPr>
              <a:spLocks noChangeShapeType="1"/>
            </xdr:cNvSpPr>
          </xdr:nvSpPr>
          <xdr:spPr bwMode="auto">
            <a:xfrm>
              <a:off x="1144" y="2832"/>
              <a:ext cx="288"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27" name="Line 29"/>
            <xdr:cNvSpPr>
              <a:spLocks noChangeShapeType="1"/>
            </xdr:cNvSpPr>
          </xdr:nvSpPr>
          <xdr:spPr bwMode="auto">
            <a:xfrm>
              <a:off x="1192" y="2880"/>
              <a:ext cx="192" cy="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28" name="Line 30"/>
            <xdr:cNvSpPr>
              <a:spLocks noChangeShapeType="1"/>
            </xdr:cNvSpPr>
          </xdr:nvSpPr>
          <xdr:spPr bwMode="auto">
            <a:xfrm>
              <a:off x="1288" y="2880"/>
              <a:ext cx="0" cy="96"/>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editAs="absolute">
    <xdr:from>
      <xdr:col>0</xdr:col>
      <xdr:colOff>0</xdr:colOff>
      <xdr:row>0</xdr:row>
      <xdr:rowOff>9525</xdr:rowOff>
    </xdr:from>
    <xdr:to>
      <xdr:col>15</xdr:col>
      <xdr:colOff>885922</xdr:colOff>
      <xdr:row>2</xdr:row>
      <xdr:rowOff>128795</xdr:rowOff>
    </xdr:to>
    <xdr:pic>
      <xdr:nvPicPr>
        <xdr:cNvPr id="11713" name="Picture 41" descr="V:\Vorlagen2000\Corporate Design\JM Logo\Streifen mit Logo\JM-Logo-streifen_DIN-QUE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87"/>
        <a:stretch>
          <a:fillRect/>
        </a:stretch>
      </xdr:blipFill>
      <xdr:spPr bwMode="auto">
        <a:xfrm>
          <a:off x="0" y="9525"/>
          <a:ext cx="1137418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1</xdr:row>
      <xdr:rowOff>85725</xdr:rowOff>
    </xdr:from>
    <xdr:to>
      <xdr:col>5</xdr:col>
      <xdr:colOff>643149</xdr:colOff>
      <xdr:row>19</xdr:row>
      <xdr:rowOff>28575</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285750"/>
          <a:ext cx="3776874" cy="3609975"/>
        </a:xfrm>
        <a:prstGeom prst="rect">
          <a:avLst/>
        </a:prstGeom>
      </xdr:spPr>
    </xdr:pic>
    <xdr:clientData/>
  </xdr:twoCellAnchor>
  <xdr:twoCellAnchor editAs="oneCell">
    <xdr:from>
      <xdr:col>11</xdr:col>
      <xdr:colOff>504825</xdr:colOff>
      <xdr:row>0</xdr:row>
      <xdr:rowOff>123825</xdr:rowOff>
    </xdr:from>
    <xdr:to>
      <xdr:col>23</xdr:col>
      <xdr:colOff>65250</xdr:colOff>
      <xdr:row>24</xdr:row>
      <xdr:rowOff>989264</xdr:rowOff>
    </xdr:to>
    <xdr:pic>
      <xdr:nvPicPr>
        <xdr:cNvPr id="2" name="Grafik 1"/>
        <xdr:cNvPicPr>
          <a:picLocks noChangeAspect="1"/>
        </xdr:cNvPicPr>
      </xdr:nvPicPr>
      <xdr:blipFill>
        <a:blip xmlns:r="http://schemas.openxmlformats.org/officeDocument/2006/relationships" r:embed="rId2"/>
        <a:stretch>
          <a:fillRect/>
        </a:stretch>
      </xdr:blipFill>
      <xdr:spPr>
        <a:xfrm>
          <a:off x="8886825" y="123825"/>
          <a:ext cx="8704425" cy="5732714"/>
        </a:xfrm>
        <a:prstGeom prst="rect">
          <a:avLst/>
        </a:prstGeom>
      </xdr:spPr>
    </xdr:pic>
    <xdr:clientData/>
  </xdr:twoCellAnchor>
  <xdr:twoCellAnchor>
    <xdr:from>
      <xdr:col>17</xdr:col>
      <xdr:colOff>95250</xdr:colOff>
      <xdr:row>4</xdr:row>
      <xdr:rowOff>123825</xdr:rowOff>
    </xdr:from>
    <xdr:to>
      <xdr:col>17</xdr:col>
      <xdr:colOff>419100</xdr:colOff>
      <xdr:row>6</xdr:row>
      <xdr:rowOff>47625</xdr:rowOff>
    </xdr:to>
    <xdr:sp macro="" textlink="">
      <xdr:nvSpPr>
        <xdr:cNvPr id="5" name="Ellipse 4"/>
        <xdr:cNvSpPr/>
      </xdr:nvSpPr>
      <xdr:spPr bwMode="auto">
        <a:xfrm>
          <a:off x="13049250" y="9620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1</a:t>
          </a:r>
        </a:p>
      </xdr:txBody>
    </xdr:sp>
    <xdr:clientData/>
  </xdr:twoCellAnchor>
  <xdr:twoCellAnchor>
    <xdr:from>
      <xdr:col>17</xdr:col>
      <xdr:colOff>447675</xdr:colOff>
      <xdr:row>11</xdr:row>
      <xdr:rowOff>76200</xdr:rowOff>
    </xdr:from>
    <xdr:to>
      <xdr:col>18</xdr:col>
      <xdr:colOff>9525</xdr:colOff>
      <xdr:row>13</xdr:row>
      <xdr:rowOff>9525</xdr:rowOff>
    </xdr:to>
    <xdr:sp macro="" textlink="">
      <xdr:nvSpPr>
        <xdr:cNvPr id="7" name="Ellipse 6"/>
        <xdr:cNvSpPr/>
      </xdr:nvSpPr>
      <xdr:spPr bwMode="auto">
        <a:xfrm>
          <a:off x="13401675" y="235267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2</a:t>
          </a:r>
        </a:p>
      </xdr:txBody>
    </xdr:sp>
    <xdr:clientData/>
  </xdr:twoCellAnchor>
  <xdr:twoCellAnchor>
    <xdr:from>
      <xdr:col>18</xdr:col>
      <xdr:colOff>114300</xdr:colOff>
      <xdr:row>14</xdr:row>
      <xdr:rowOff>0</xdr:rowOff>
    </xdr:from>
    <xdr:to>
      <xdr:col>18</xdr:col>
      <xdr:colOff>438150</xdr:colOff>
      <xdr:row>15</xdr:row>
      <xdr:rowOff>123825</xdr:rowOff>
    </xdr:to>
    <xdr:sp macro="" textlink="">
      <xdr:nvSpPr>
        <xdr:cNvPr id="8" name="Ellipse 7"/>
        <xdr:cNvSpPr/>
      </xdr:nvSpPr>
      <xdr:spPr bwMode="auto">
        <a:xfrm>
          <a:off x="13830300" y="28670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3</a:t>
          </a:r>
        </a:p>
      </xdr:txBody>
    </xdr:sp>
    <xdr:clientData/>
  </xdr:twoCellAnchor>
  <xdr:twoCellAnchor>
    <xdr:from>
      <xdr:col>20</xdr:col>
      <xdr:colOff>419100</xdr:colOff>
      <xdr:row>13</xdr:row>
      <xdr:rowOff>114300</xdr:rowOff>
    </xdr:from>
    <xdr:to>
      <xdr:col>20</xdr:col>
      <xdr:colOff>742950</xdr:colOff>
      <xdr:row>15</xdr:row>
      <xdr:rowOff>38100</xdr:rowOff>
    </xdr:to>
    <xdr:sp macro="" textlink="">
      <xdr:nvSpPr>
        <xdr:cNvPr id="9" name="Ellipse 8"/>
        <xdr:cNvSpPr/>
      </xdr:nvSpPr>
      <xdr:spPr bwMode="auto">
        <a:xfrm>
          <a:off x="15659100" y="278130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5</a:t>
          </a:r>
        </a:p>
      </xdr:txBody>
    </xdr:sp>
    <xdr:clientData/>
  </xdr:twoCellAnchor>
  <xdr:twoCellAnchor>
    <xdr:from>
      <xdr:col>18</xdr:col>
      <xdr:colOff>123825</xdr:colOff>
      <xdr:row>16</xdr:row>
      <xdr:rowOff>38100</xdr:rowOff>
    </xdr:from>
    <xdr:to>
      <xdr:col>18</xdr:col>
      <xdr:colOff>447675</xdr:colOff>
      <xdr:row>17</xdr:row>
      <xdr:rowOff>161925</xdr:rowOff>
    </xdr:to>
    <xdr:sp macro="" textlink="">
      <xdr:nvSpPr>
        <xdr:cNvPr id="10" name="Ellipse 9"/>
        <xdr:cNvSpPr/>
      </xdr:nvSpPr>
      <xdr:spPr bwMode="auto">
        <a:xfrm>
          <a:off x="13839825" y="330517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4</a:t>
          </a:r>
        </a:p>
      </xdr:txBody>
    </xdr:sp>
    <xdr:clientData/>
  </xdr:twoCellAnchor>
  <xdr:twoCellAnchor>
    <xdr:from>
      <xdr:col>14</xdr:col>
      <xdr:colOff>57150</xdr:colOff>
      <xdr:row>18</xdr:row>
      <xdr:rowOff>190500</xdr:rowOff>
    </xdr:from>
    <xdr:to>
      <xdr:col>14</xdr:col>
      <xdr:colOff>381000</xdr:colOff>
      <xdr:row>20</xdr:row>
      <xdr:rowOff>114300</xdr:rowOff>
    </xdr:to>
    <xdr:sp macro="" textlink="">
      <xdr:nvSpPr>
        <xdr:cNvPr id="11" name="Ellipse 10"/>
        <xdr:cNvSpPr/>
      </xdr:nvSpPr>
      <xdr:spPr bwMode="auto">
        <a:xfrm>
          <a:off x="10725150" y="38576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6</a:t>
          </a:r>
        </a:p>
      </xdr:txBody>
    </xdr:sp>
    <xdr:clientData/>
  </xdr:twoCellAnchor>
  <xdr:twoCellAnchor>
    <xdr:from>
      <xdr:col>18</xdr:col>
      <xdr:colOff>428625</xdr:colOff>
      <xdr:row>19</xdr:row>
      <xdr:rowOff>0</xdr:rowOff>
    </xdr:from>
    <xdr:to>
      <xdr:col>18</xdr:col>
      <xdr:colOff>752475</xdr:colOff>
      <xdr:row>20</xdr:row>
      <xdr:rowOff>123825</xdr:rowOff>
    </xdr:to>
    <xdr:sp macro="" textlink="">
      <xdr:nvSpPr>
        <xdr:cNvPr id="12" name="Ellipse 11"/>
        <xdr:cNvSpPr/>
      </xdr:nvSpPr>
      <xdr:spPr bwMode="auto">
        <a:xfrm>
          <a:off x="14144625" y="386715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7</a:t>
          </a:r>
        </a:p>
      </xdr:txBody>
    </xdr:sp>
    <xdr:clientData/>
  </xdr:twoCellAnchor>
  <xdr:twoCellAnchor>
    <xdr:from>
      <xdr:col>22</xdr:col>
      <xdr:colOff>171450</xdr:colOff>
      <xdr:row>19</xdr:row>
      <xdr:rowOff>0</xdr:rowOff>
    </xdr:from>
    <xdr:to>
      <xdr:col>22</xdr:col>
      <xdr:colOff>495300</xdr:colOff>
      <xdr:row>20</xdr:row>
      <xdr:rowOff>123825</xdr:rowOff>
    </xdr:to>
    <xdr:sp macro="" textlink="">
      <xdr:nvSpPr>
        <xdr:cNvPr id="13" name="Ellipse 12"/>
        <xdr:cNvSpPr/>
      </xdr:nvSpPr>
      <xdr:spPr bwMode="auto">
        <a:xfrm>
          <a:off x="16935450" y="386715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504826</xdr:colOff>
      <xdr:row>0</xdr:row>
      <xdr:rowOff>123825</xdr:rowOff>
    </xdr:from>
    <xdr:to>
      <xdr:col>23</xdr:col>
      <xdr:colOff>27610</xdr:colOff>
      <xdr:row>25</xdr:row>
      <xdr:rowOff>0</xdr:rowOff>
    </xdr:to>
    <xdr:pic>
      <xdr:nvPicPr>
        <xdr:cNvPr id="2" name="Grafik 1"/>
        <xdr:cNvPicPr>
          <a:picLocks noChangeAspect="1"/>
        </xdr:cNvPicPr>
      </xdr:nvPicPr>
      <xdr:blipFill>
        <a:blip xmlns:r="http://schemas.openxmlformats.org/officeDocument/2006/relationships" r:embed="rId1"/>
        <a:stretch>
          <a:fillRect/>
        </a:stretch>
      </xdr:blipFill>
      <xdr:spPr>
        <a:xfrm>
          <a:off x="8886826" y="123825"/>
          <a:ext cx="8666784" cy="5715000"/>
        </a:xfrm>
        <a:prstGeom prst="rect">
          <a:avLst/>
        </a:prstGeom>
      </xdr:spPr>
    </xdr:pic>
    <xdr:clientData/>
  </xdr:twoCellAnchor>
  <xdr:twoCellAnchor editAs="oneCell">
    <xdr:from>
      <xdr:col>0</xdr:col>
      <xdr:colOff>681258</xdr:colOff>
      <xdr:row>1</xdr:row>
      <xdr:rowOff>85725</xdr:rowOff>
    </xdr:from>
    <xdr:to>
      <xdr:col>5</xdr:col>
      <xdr:colOff>638166</xdr:colOff>
      <xdr:row>19</xdr:row>
      <xdr:rowOff>28575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258" y="285750"/>
          <a:ext cx="3766908" cy="3600450"/>
        </a:xfrm>
        <a:prstGeom prst="rect">
          <a:avLst/>
        </a:prstGeom>
      </xdr:spPr>
    </xdr:pic>
    <xdr:clientData/>
  </xdr:twoCellAnchor>
  <xdr:twoCellAnchor>
    <xdr:from>
      <xdr:col>17</xdr:col>
      <xdr:colOff>95250</xdr:colOff>
      <xdr:row>4</xdr:row>
      <xdr:rowOff>123825</xdr:rowOff>
    </xdr:from>
    <xdr:to>
      <xdr:col>17</xdr:col>
      <xdr:colOff>419100</xdr:colOff>
      <xdr:row>6</xdr:row>
      <xdr:rowOff>47625</xdr:rowOff>
    </xdr:to>
    <xdr:sp macro="" textlink="">
      <xdr:nvSpPr>
        <xdr:cNvPr id="5" name="Ellipse 4"/>
        <xdr:cNvSpPr/>
      </xdr:nvSpPr>
      <xdr:spPr bwMode="auto">
        <a:xfrm>
          <a:off x="13049250" y="9620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1</a:t>
          </a:r>
        </a:p>
      </xdr:txBody>
    </xdr:sp>
    <xdr:clientData/>
  </xdr:twoCellAnchor>
  <xdr:twoCellAnchor>
    <xdr:from>
      <xdr:col>17</xdr:col>
      <xdr:colOff>447675</xdr:colOff>
      <xdr:row>11</xdr:row>
      <xdr:rowOff>76200</xdr:rowOff>
    </xdr:from>
    <xdr:to>
      <xdr:col>18</xdr:col>
      <xdr:colOff>9525</xdr:colOff>
      <xdr:row>13</xdr:row>
      <xdr:rowOff>9525</xdr:rowOff>
    </xdr:to>
    <xdr:sp macro="" textlink="">
      <xdr:nvSpPr>
        <xdr:cNvPr id="6" name="Ellipse 5"/>
        <xdr:cNvSpPr/>
      </xdr:nvSpPr>
      <xdr:spPr bwMode="auto">
        <a:xfrm>
          <a:off x="13401675" y="235267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2</a:t>
          </a:r>
        </a:p>
      </xdr:txBody>
    </xdr:sp>
    <xdr:clientData/>
  </xdr:twoCellAnchor>
  <xdr:twoCellAnchor>
    <xdr:from>
      <xdr:col>18</xdr:col>
      <xdr:colOff>114300</xdr:colOff>
      <xdr:row>14</xdr:row>
      <xdr:rowOff>0</xdr:rowOff>
    </xdr:from>
    <xdr:to>
      <xdr:col>18</xdr:col>
      <xdr:colOff>438150</xdr:colOff>
      <xdr:row>15</xdr:row>
      <xdr:rowOff>123825</xdr:rowOff>
    </xdr:to>
    <xdr:sp macro="" textlink="">
      <xdr:nvSpPr>
        <xdr:cNvPr id="7" name="Ellipse 6"/>
        <xdr:cNvSpPr/>
      </xdr:nvSpPr>
      <xdr:spPr bwMode="auto">
        <a:xfrm>
          <a:off x="13830300" y="28670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3</a:t>
          </a:r>
        </a:p>
      </xdr:txBody>
    </xdr:sp>
    <xdr:clientData/>
  </xdr:twoCellAnchor>
  <xdr:twoCellAnchor>
    <xdr:from>
      <xdr:col>20</xdr:col>
      <xdr:colOff>419100</xdr:colOff>
      <xdr:row>13</xdr:row>
      <xdr:rowOff>114300</xdr:rowOff>
    </xdr:from>
    <xdr:to>
      <xdr:col>20</xdr:col>
      <xdr:colOff>742950</xdr:colOff>
      <xdr:row>15</xdr:row>
      <xdr:rowOff>38100</xdr:rowOff>
    </xdr:to>
    <xdr:sp macro="" textlink="">
      <xdr:nvSpPr>
        <xdr:cNvPr id="8" name="Ellipse 7"/>
        <xdr:cNvSpPr/>
      </xdr:nvSpPr>
      <xdr:spPr bwMode="auto">
        <a:xfrm>
          <a:off x="15659100" y="278130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5</a:t>
          </a:r>
        </a:p>
      </xdr:txBody>
    </xdr:sp>
    <xdr:clientData/>
  </xdr:twoCellAnchor>
  <xdr:twoCellAnchor>
    <xdr:from>
      <xdr:col>18</xdr:col>
      <xdr:colOff>123825</xdr:colOff>
      <xdr:row>16</xdr:row>
      <xdr:rowOff>38100</xdr:rowOff>
    </xdr:from>
    <xdr:to>
      <xdr:col>18</xdr:col>
      <xdr:colOff>447675</xdr:colOff>
      <xdr:row>17</xdr:row>
      <xdr:rowOff>161925</xdr:rowOff>
    </xdr:to>
    <xdr:sp macro="" textlink="">
      <xdr:nvSpPr>
        <xdr:cNvPr id="9" name="Ellipse 8"/>
        <xdr:cNvSpPr/>
      </xdr:nvSpPr>
      <xdr:spPr bwMode="auto">
        <a:xfrm>
          <a:off x="13839825" y="330517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4</a:t>
          </a:r>
        </a:p>
      </xdr:txBody>
    </xdr:sp>
    <xdr:clientData/>
  </xdr:twoCellAnchor>
  <xdr:twoCellAnchor>
    <xdr:from>
      <xdr:col>14</xdr:col>
      <xdr:colOff>57150</xdr:colOff>
      <xdr:row>18</xdr:row>
      <xdr:rowOff>190500</xdr:rowOff>
    </xdr:from>
    <xdr:to>
      <xdr:col>14</xdr:col>
      <xdr:colOff>381000</xdr:colOff>
      <xdr:row>20</xdr:row>
      <xdr:rowOff>114300</xdr:rowOff>
    </xdr:to>
    <xdr:sp macro="" textlink="">
      <xdr:nvSpPr>
        <xdr:cNvPr id="10" name="Ellipse 9"/>
        <xdr:cNvSpPr/>
      </xdr:nvSpPr>
      <xdr:spPr bwMode="auto">
        <a:xfrm>
          <a:off x="10725150" y="3857625"/>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6</a:t>
          </a:r>
        </a:p>
      </xdr:txBody>
    </xdr:sp>
    <xdr:clientData/>
  </xdr:twoCellAnchor>
  <xdr:twoCellAnchor>
    <xdr:from>
      <xdr:col>18</xdr:col>
      <xdr:colOff>428625</xdr:colOff>
      <xdr:row>19</xdr:row>
      <xdr:rowOff>0</xdr:rowOff>
    </xdr:from>
    <xdr:to>
      <xdr:col>18</xdr:col>
      <xdr:colOff>752475</xdr:colOff>
      <xdr:row>20</xdr:row>
      <xdr:rowOff>123825</xdr:rowOff>
    </xdr:to>
    <xdr:sp macro="" textlink="">
      <xdr:nvSpPr>
        <xdr:cNvPr id="11" name="Ellipse 10"/>
        <xdr:cNvSpPr/>
      </xdr:nvSpPr>
      <xdr:spPr bwMode="auto">
        <a:xfrm>
          <a:off x="14144625" y="386715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7</a:t>
          </a:r>
        </a:p>
      </xdr:txBody>
    </xdr:sp>
    <xdr:clientData/>
  </xdr:twoCellAnchor>
  <xdr:twoCellAnchor>
    <xdr:from>
      <xdr:col>22</xdr:col>
      <xdr:colOff>171450</xdr:colOff>
      <xdr:row>19</xdr:row>
      <xdr:rowOff>0</xdr:rowOff>
    </xdr:from>
    <xdr:to>
      <xdr:col>22</xdr:col>
      <xdr:colOff>495300</xdr:colOff>
      <xdr:row>20</xdr:row>
      <xdr:rowOff>123825</xdr:rowOff>
    </xdr:to>
    <xdr:sp macro="" textlink="">
      <xdr:nvSpPr>
        <xdr:cNvPr id="12" name="Ellipse 11"/>
        <xdr:cNvSpPr/>
      </xdr:nvSpPr>
      <xdr:spPr bwMode="auto">
        <a:xfrm>
          <a:off x="16935450" y="3867150"/>
          <a:ext cx="323850" cy="323850"/>
        </a:xfrm>
        <a:prstGeom prst="ellipse">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anchorCtr="0" upright="1"/>
        <a:lstStyle/>
        <a:p>
          <a:pPr algn="ctr"/>
          <a:r>
            <a:rPr lang="de-DE" sz="2000" b="1">
              <a:solidFill>
                <a:schemeClr val="tx2"/>
              </a:solidFill>
            </a:rPr>
            <a:t>8</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4:P44"/>
  <sheetViews>
    <sheetView tabSelected="1" zoomScale="99" zoomScaleNormal="99" workbookViewId="0">
      <selection activeCell="S27" sqref="S27"/>
    </sheetView>
  </sheetViews>
  <sheetFormatPr baseColWidth="10" defaultRowHeight="15" x14ac:dyDescent="0.25"/>
  <cols>
    <col min="1" max="1" width="5.42578125" style="48" customWidth="1"/>
    <col min="2" max="2" width="6.140625" style="48" bestFit="1" customWidth="1"/>
    <col min="3" max="3" width="12.140625" style="48" bestFit="1" customWidth="1"/>
    <col min="4" max="4" width="9.42578125" style="48" customWidth="1"/>
    <col min="5" max="5" width="11.42578125" style="48" hidden="1" customWidth="1"/>
    <col min="6" max="6" width="11.85546875" style="48" customWidth="1"/>
    <col min="7" max="7" width="12.5703125" style="48" customWidth="1"/>
    <col min="8" max="8" width="12.42578125" style="48" customWidth="1"/>
    <col min="9" max="11" width="13" style="48" customWidth="1"/>
    <col min="12" max="12" width="12.85546875" style="48" customWidth="1"/>
    <col min="13" max="13" width="11.42578125" style="48"/>
    <col min="14" max="14" width="11.42578125" style="48" customWidth="1"/>
    <col min="15" max="15" width="12.5703125" style="48" customWidth="1"/>
    <col min="16" max="16" width="15.42578125" style="48" customWidth="1"/>
    <col min="17" max="16384" width="11.42578125" style="48"/>
  </cols>
  <sheetData>
    <row r="4" spans="1:16" x14ac:dyDescent="0.25">
      <c r="A4" s="155" t="str">
        <f>VLOOKUP("Absicherung Batteriestromkreis von USV-Anlagen",Übersetzung!$A:$Y,MATCH($M$5,Übersetzung!$1:$1,0),0)</f>
        <v>Absicherung Batteriestromkreis von USV-Anlagen</v>
      </c>
      <c r="B4" s="155"/>
      <c r="C4" s="155"/>
      <c r="D4" s="155"/>
      <c r="E4" s="155"/>
      <c r="F4" s="155"/>
      <c r="G4" s="155"/>
      <c r="H4" s="155"/>
      <c r="I4" s="155"/>
      <c r="J4" s="155"/>
      <c r="K4" s="155"/>
      <c r="L4" s="155"/>
      <c r="O4" s="150" t="s">
        <v>446</v>
      </c>
      <c r="P4" s="150"/>
    </row>
    <row r="5" spans="1:16" ht="15.75" thickBot="1" x14ac:dyDescent="0.3">
      <c r="M5" s="43" t="s">
        <v>235</v>
      </c>
      <c r="O5" s="49" t="s">
        <v>210</v>
      </c>
      <c r="P5" s="49" t="s">
        <v>263</v>
      </c>
    </row>
    <row r="6" spans="1:16" x14ac:dyDescent="0.25">
      <c r="A6" s="160" t="s">
        <v>208</v>
      </c>
      <c r="B6" s="161"/>
      <c r="D6" s="151" t="str">
        <f>VLOOKUP("USV-Daten",Übersetzung!$A:$Y,MATCH($M$5,Übersetzung!$1:$1,0),0)</f>
        <v>USV-Daten</v>
      </c>
      <c r="E6" s="50"/>
      <c r="F6" s="50" t="str">
        <f>VLOOKUP("Nennleistung",Übersetzung!$A:$Y,MATCH($M$5,Übersetzung!$1:$1,0),0)</f>
        <v>Nennleistung</v>
      </c>
      <c r="G6" s="50"/>
      <c r="H6" s="44">
        <v>200</v>
      </c>
      <c r="I6" s="45" t="s">
        <v>13</v>
      </c>
    </row>
    <row r="7" spans="1:16" x14ac:dyDescent="0.25">
      <c r="A7" s="162"/>
      <c r="B7" s="163"/>
      <c r="D7" s="152" t="e">
        <f>VLOOKUP("Wirkungsgrad",Übersetzung!$A:$Y,MATCH($M$5,Übersetzung!$1:$1),0)</f>
        <v>#N/A</v>
      </c>
      <c r="E7" s="51"/>
      <c r="F7" s="51" t="str">
        <f>VLOOKUP("cos phi",Übersetzung!$A:$Y,MATCH($M$5,Übersetzung!$1:$1,0),0)</f>
        <v>cos phi</v>
      </c>
      <c r="G7" s="51"/>
      <c r="H7" s="46">
        <v>0.9</v>
      </c>
      <c r="I7" s="52"/>
    </row>
    <row r="8" spans="1:16" x14ac:dyDescent="0.25">
      <c r="A8" s="164" t="str">
        <f>VLOOKUP("Bitte alle orangen Eingabefelder vollständig ausfüllen",Übersetzung!$A:$Y,MATCH($M$5,Übersetzung!$1:$1,0),0)</f>
        <v>Bitte alle orangen Eingabefelder vollständig ausfüllen</v>
      </c>
      <c r="B8" s="165"/>
      <c r="D8" s="152" t="e">
        <f>VLOOKUP("Wirkungsgrad",Übersetzung!$A:$Y,MATCH($M$5,Übersetzung!$1:$1),0)</f>
        <v>#N/A</v>
      </c>
      <c r="E8" s="51"/>
      <c r="F8" s="51" t="str">
        <f>VLOOKUP("Zwischenkreisspannung",Übersetzung!$A:$Y,MATCH($M$5,Übersetzung!$1:$1,0),0)</f>
        <v>Zwischenkreisspannung</v>
      </c>
      <c r="G8" s="51"/>
      <c r="H8" s="46">
        <v>400</v>
      </c>
      <c r="I8" s="52" t="s">
        <v>10</v>
      </c>
    </row>
    <row r="9" spans="1:16" ht="14.25" customHeight="1" thickBot="1" x14ac:dyDescent="0.3">
      <c r="A9" s="164"/>
      <c r="B9" s="165"/>
      <c r="C9" s="53"/>
      <c r="D9" s="153" t="e">
        <f>VLOOKUP("Wirkungsgrad",Übersetzung!$A:$Y,MATCH($M$5,Übersetzung!$1:$1),0)</f>
        <v>#N/A</v>
      </c>
      <c r="E9" s="54"/>
      <c r="F9" s="54" t="str">
        <f>VLOOKUP("Wirkungsgrad DC/AC",Übersetzung!$A:$Y,MATCH($M$5,Übersetzung!$1:$1,0),0)</f>
        <v>Wirkungsgrad DC/AC</v>
      </c>
      <c r="G9" s="54"/>
      <c r="H9" s="47">
        <v>0.9</v>
      </c>
      <c r="I9" s="55"/>
      <c r="K9" s="56"/>
      <c r="L9" s="57"/>
      <c r="M9" s="57"/>
      <c r="N9" s="57"/>
    </row>
    <row r="10" spans="1:16" x14ac:dyDescent="0.25">
      <c r="A10" s="164"/>
      <c r="B10" s="165"/>
      <c r="C10" s="53"/>
      <c r="L10" s="58" t="str">
        <f>VLOOKUP("Datum",Übersetzung!$A:$Y,MATCH($M$5,Übersetzung!$1:$1,0),0)</f>
        <v>Datum</v>
      </c>
      <c r="M10" s="50"/>
      <c r="N10" s="127">
        <f ca="1">TODAY()</f>
        <v>44573</v>
      </c>
      <c r="O10" s="127"/>
      <c r="P10" s="128"/>
    </row>
    <row r="11" spans="1:16" x14ac:dyDescent="0.25">
      <c r="A11" s="164"/>
      <c r="B11" s="165"/>
      <c r="L11" s="59" t="str">
        <f>VLOOKUP("Projekt-Bezeichnung",Übersetzung!$A:$Y,MATCH($M$5,Übersetzung!$1:$1,0),0)</f>
        <v>Projekt-Bezeichnung</v>
      </c>
      <c r="M11" s="51"/>
      <c r="N11" s="129"/>
      <c r="O11" s="129"/>
      <c r="P11" s="130"/>
    </row>
    <row r="12" spans="1:16" x14ac:dyDescent="0.25">
      <c r="A12" s="164"/>
      <c r="B12" s="165"/>
      <c r="L12" s="59" t="str">
        <f>VLOOKUP("Notizen",Übersetzung!$A:$Y,MATCH($M$5,Übersetzung!$1:$1,0),0)</f>
        <v>Notizen</v>
      </c>
      <c r="M12" s="51"/>
      <c r="N12" s="131"/>
      <c r="O12" s="131"/>
      <c r="P12" s="132"/>
    </row>
    <row r="13" spans="1:16" ht="15.75" thickBot="1" x14ac:dyDescent="0.3">
      <c r="A13" s="166"/>
      <c r="B13" s="167"/>
      <c r="L13" s="59"/>
      <c r="M13" s="51"/>
      <c r="N13" s="131"/>
      <c r="O13" s="131"/>
      <c r="P13" s="132"/>
    </row>
    <row r="14" spans="1:16" x14ac:dyDescent="0.25">
      <c r="A14" s="53"/>
      <c r="B14" s="53"/>
      <c r="L14" s="59"/>
      <c r="M14" s="51"/>
      <c r="N14" s="131"/>
      <c r="O14" s="131"/>
      <c r="P14" s="132"/>
    </row>
    <row r="15" spans="1:16" ht="15.75" thickBot="1" x14ac:dyDescent="0.3">
      <c r="A15" s="53"/>
      <c r="B15" s="53"/>
      <c r="L15" s="60"/>
      <c r="M15" s="54"/>
      <c r="N15" s="133"/>
      <c r="O15" s="133"/>
      <c r="P15" s="134"/>
    </row>
    <row r="16" spans="1:16" ht="15.75" thickBot="1" x14ac:dyDescent="0.3"/>
    <row r="17" spans="1:16" ht="15.75" thickBot="1" x14ac:dyDescent="0.3">
      <c r="H17" s="61" t="str">
        <f>VLOOKUP("Mechanische Sicherungsüberwachung",Übersetzung!$A:$Y,MATCH($M$5,Übersetzung!$1:$1,0),0)</f>
        <v>Mechanische Sicherungsüberwachung</v>
      </c>
      <c r="I17" s="62"/>
      <c r="J17" s="62"/>
      <c r="K17" s="96" t="s">
        <v>431</v>
      </c>
    </row>
    <row r="18" spans="1:16" ht="15.75" thickBot="1" x14ac:dyDescent="0.3">
      <c r="D18" s="63" t="str">
        <f>VLOOKUP("Sicherung",Übersetzung!$A:$Y,MATCH($M$5,Übersetzung!$1:$1,0),0)</f>
        <v>Sicherung</v>
      </c>
    </row>
    <row r="19" spans="1:16" x14ac:dyDescent="0.25">
      <c r="H19" s="58" t="str">
        <f>VLOOKUP("Anzahl Batteriestränge",Übersetzung!$A:$Y,MATCH($M$5,Übersetzung!$1:$1,0),0)</f>
        <v>Anzahl Batteriestränge</v>
      </c>
      <c r="I19" s="50"/>
      <c r="J19" s="41">
        <v>2</v>
      </c>
      <c r="K19" s="64"/>
      <c r="L19" s="58"/>
      <c r="M19" s="65" t="str">
        <f>VLOOKUP("Überlast",Übersetzung!$A:$Y,MATCH($M$5,Übersetzung!$1:$1,0),0)</f>
        <v>Überlast</v>
      </c>
      <c r="N19" s="66">
        <v>1</v>
      </c>
      <c r="O19" s="65" t="str">
        <f>VLOOKUP("Überlast",Übersetzung!$A:$Y,MATCH($M$5,Übersetzung!$1:$1,0),0)</f>
        <v>Überlast</v>
      </c>
      <c r="P19" s="67">
        <v>2</v>
      </c>
    </row>
    <row r="20" spans="1:16" x14ac:dyDescent="0.25">
      <c r="H20" s="59" t="str">
        <f>VLOOKUP("Davon redundant",Übersetzung!$A:$Y,MATCH($M$5,Übersetzung!$1:$1,0),0)</f>
        <v>Davon redundant</v>
      </c>
      <c r="I20" s="51"/>
      <c r="J20" s="42">
        <v>1</v>
      </c>
      <c r="K20" s="52"/>
      <c r="L20" s="59" t="str">
        <f>VLOOKUP("Einkalkulieren",Übersetzung!$A:$Y,MATCH($M$5,Übersetzung!$1:$1,0),0)</f>
        <v>Einkalkulieren</v>
      </c>
      <c r="M20" s="95" t="s">
        <v>265</v>
      </c>
      <c r="N20" s="51"/>
      <c r="O20" s="95" t="s">
        <v>265</v>
      </c>
      <c r="P20" s="52"/>
    </row>
    <row r="21" spans="1:16" x14ac:dyDescent="0.25">
      <c r="D21" s="154" t="str">
        <f>VLOOKUP("Batterie-Daten",Übersetzung!$A:$Y,MATCH($M$5,Übersetzung!$1:$1,0),0)</f>
        <v>Batterie-Daten</v>
      </c>
      <c r="H21" s="59" t="str">
        <f>VLOOKUP("Entladeschlussspannung",Übersetzung!$A:$Y,MATCH($M$5,Übersetzung!$1:$1,0),0)</f>
        <v>Entladeschlussspannung</v>
      </c>
      <c r="I21" s="51"/>
      <c r="J21" s="42">
        <v>350</v>
      </c>
      <c r="K21" s="52" t="s">
        <v>10</v>
      </c>
      <c r="L21" s="59"/>
      <c r="M21" s="51"/>
      <c r="N21" s="51"/>
      <c r="O21" s="51"/>
      <c r="P21" s="52"/>
    </row>
    <row r="22" spans="1:16" x14ac:dyDescent="0.25">
      <c r="D22" s="154" t="str">
        <f>VLOOKUP("Sicherung",Übersetzung!$A:$Y,MATCH($M$5,Übersetzung!$1:$1),0)</f>
        <v>Sicherung</v>
      </c>
      <c r="H22" s="59" t="str">
        <f>VLOOKUP("Überbrückungszeit",Übersetzung!$A:$Y,MATCH($M$5,Übersetzung!$1:$1,0),0)</f>
        <v>Überbrückungszeit</v>
      </c>
      <c r="I22" s="51"/>
      <c r="J22" s="42">
        <v>15</v>
      </c>
      <c r="K22" s="52" t="str">
        <f>CONCATENATE("min",IF(J22&gt;60,"*",""))</f>
        <v>min</v>
      </c>
      <c r="L22" s="59" t="str">
        <f>VLOOKUP("Faktor",Übersetzung!$A:$Y,MATCH($M$5,Übersetzung!$1:$1,0),0)</f>
        <v>Faktor</v>
      </c>
      <c r="M22" s="40">
        <v>1.25</v>
      </c>
      <c r="N22" s="51"/>
      <c r="O22" s="100">
        <v>1.5</v>
      </c>
      <c r="P22" s="52"/>
    </row>
    <row r="23" spans="1:16" x14ac:dyDescent="0.25">
      <c r="D23" s="154" t="str">
        <f>VLOOKUP("Sicherung",Übersetzung!$A:$Y,MATCH($M$5,Übersetzung!$1:$1),0)</f>
        <v>Sicherung</v>
      </c>
      <c r="H23" s="59" t="str">
        <f>VLOOKUP("max. Entladestrom",Übersetzung!$A:$Y,MATCH($M$5,Übersetzung!$1:$1,0),0)</f>
        <v>max. Entladestrom</v>
      </c>
      <c r="I23" s="51"/>
      <c r="J23" s="98">
        <f>IF(J24="ja/yes",J25,(IF(I6="kW",H6*1000/(J21*H9),H7*H6*1000/(J21*H9)))/(J19-J20))</f>
        <v>571.42857142857144</v>
      </c>
      <c r="K23" s="52" t="s">
        <v>12</v>
      </c>
      <c r="L23" s="59" t="str">
        <f>VLOOKUP("Strom",Übersetzung!$A:$Y,MATCH($M$5,Übersetzung!$1:$1,0),0)</f>
        <v>Strom</v>
      </c>
      <c r="M23" s="97">
        <f>IF(M20="nein/no",0,M$22*$J$23)</f>
        <v>0</v>
      </c>
      <c r="N23" s="51" t="s">
        <v>12</v>
      </c>
      <c r="O23" s="97">
        <f>IF(O20="nein/no",0,O$22*$J$23)</f>
        <v>0</v>
      </c>
      <c r="P23" s="52" t="s">
        <v>12</v>
      </c>
    </row>
    <row r="24" spans="1:16" x14ac:dyDescent="0.25">
      <c r="H24" s="108" t="str">
        <f>VLOOKUP("Manuelle Eingabe",Übersetzung!$A:$Y,MATCH($M$5,Übersetzung!$1:$1,0),0)</f>
        <v>Manuelle Eingabe</v>
      </c>
      <c r="I24" s="51"/>
      <c r="J24" s="99" t="s">
        <v>265</v>
      </c>
      <c r="K24" s="52"/>
      <c r="L24" s="59" t="str">
        <f>VLOOKUP("Dauer",Übersetzung!$A:$Y,MATCH($M$5,Übersetzung!$1:$1,0),0)</f>
        <v>Dauer</v>
      </c>
      <c r="M24" s="40">
        <v>10</v>
      </c>
      <c r="N24" s="51" t="s">
        <v>8</v>
      </c>
      <c r="O24" s="40">
        <v>1</v>
      </c>
      <c r="P24" s="52" t="s">
        <v>8</v>
      </c>
    </row>
    <row r="25" spans="1:16" ht="15.75" thickBot="1" x14ac:dyDescent="0.3">
      <c r="H25" s="60" t="str">
        <f>VLOOKUP("max. Entladestrom",Übersetzung!$A:$Y,MATCH($M$5,Übersetzung!$1:$1,0),0)</f>
        <v>max. Entladestrom</v>
      </c>
      <c r="I25" s="54"/>
      <c r="J25" s="110">
        <v>100</v>
      </c>
      <c r="K25" s="55" t="s">
        <v>12</v>
      </c>
      <c r="L25" s="60"/>
      <c r="M25" s="54"/>
      <c r="N25" s="54"/>
      <c r="O25" s="54"/>
      <c r="P25" s="55"/>
    </row>
    <row r="26" spans="1:16" x14ac:dyDescent="0.25">
      <c r="H26" s="139" t="str">
        <f>IF($J$22&gt;60,VLOOKUP("*Achtung! Bei Überbrückungszeit &gt;60min Leistungsabgabe beachten. Ggf. Hersteller kontaktieren.",Übersetzung!$A:$Y,MATCH($M$5,Übersetzung!$1:$1,0),0),"")</f>
        <v/>
      </c>
      <c r="I26" s="139"/>
      <c r="J26" s="139"/>
      <c r="K26" s="139"/>
    </row>
    <row r="27" spans="1:16" x14ac:dyDescent="0.25">
      <c r="H27" s="140"/>
      <c r="I27" s="140"/>
      <c r="J27" s="140"/>
      <c r="K27" s="140"/>
    </row>
    <row r="29" spans="1:16" ht="15.75" thickBot="1" x14ac:dyDescent="0.3">
      <c r="H29" s="138" t="str">
        <f>IF($H$8&gt;440,VLOOKUP("*Achtung! Kein Lastschaltvermögen bei DC-Spannung &gt; 440V. Angaben zur Gebrauchskategorie beachten!",Übersetzung!$A:$Y,MATCH($M$5,Übersetzung!$1:$1,0),0),"")</f>
        <v/>
      </c>
      <c r="I29" s="138"/>
      <c r="J29" s="138"/>
      <c r="K29" s="138"/>
      <c r="L29" s="138"/>
      <c r="M29" s="138"/>
      <c r="N29" s="138"/>
      <c r="O29" s="138"/>
    </row>
    <row r="30" spans="1:16" x14ac:dyDescent="0.25">
      <c r="A30" s="156" t="str">
        <f>VLOOKUP("Bestelldaten",Übersetzung!$A:$Y,MATCH($M$5,Übersetzung!$1:$1,0),0)</f>
        <v>Bestelldaten</v>
      </c>
      <c r="B30" s="58"/>
      <c r="C30" s="68"/>
      <c r="D30" s="123" t="str">
        <f>VLOOKUP("Sicherungseinsatz",Übersetzung!$A:$Y,MATCH($M$5,Übersetzung!$1:$1,0),0)</f>
        <v>Sicherungseinsatz</v>
      </c>
      <c r="E30" s="124"/>
      <c r="F30" s="124"/>
      <c r="G30" s="124"/>
      <c r="H30" s="135" t="str">
        <f>CONCATENATE(VLOOKUP("NH-Sicherungslasttrennschalter",Übersetzung!$A:$Y,MATCH($M$5,Übersetzung!$1:$1,0),0),IF($H$8&gt;440,"*",""))</f>
        <v>NH-Sicherungslasttrennschalter</v>
      </c>
      <c r="I30" s="136"/>
      <c r="J30" s="136"/>
      <c r="K30" s="136"/>
      <c r="L30" s="136"/>
      <c r="M30" s="136"/>
      <c r="N30" s="136"/>
      <c r="O30" s="137"/>
      <c r="P30" s="69" t="str">
        <f>VLOOKUP("Trennmesser",Übersetzung!$A:$Y,MATCH($M$5,Übersetzung!$1:$1,0),0)</f>
        <v>Trennmesser</v>
      </c>
    </row>
    <row r="31" spans="1:16" x14ac:dyDescent="0.25">
      <c r="A31" s="157"/>
      <c r="B31" s="59"/>
      <c r="C31" s="70"/>
      <c r="D31" s="71"/>
      <c r="E31" s="72"/>
      <c r="F31" s="73"/>
      <c r="G31" s="72"/>
      <c r="H31" s="125" t="str">
        <f>VLOOKUP("1-polig",Übersetzung!$A:$Y,MATCH($M$5,Übersetzung!$1:$1,0),0)</f>
        <v>1-polig</v>
      </c>
      <c r="I31" s="126"/>
      <c r="J31" s="125" t="str">
        <f>VLOOKUP("2-polig",Übersetzung!$A:$Y,MATCH($M$5,Übersetzung!$1:$1,0),0)</f>
        <v>2-polig</v>
      </c>
      <c r="K31" s="126"/>
      <c r="L31" s="125" t="str">
        <f>VLOOKUP("3-polig",Übersetzung!$A:$Y,MATCH($M$5,Übersetzung!$1:$1,0),0)</f>
        <v>3-polig</v>
      </c>
      <c r="M31" s="126"/>
      <c r="N31" s="125" t="str">
        <f>VLOOKUP("4-polig",Übersetzung!$A:$Y,MATCH($M$5,Übersetzung!$1:$1,0),0)</f>
        <v>4-polig</v>
      </c>
      <c r="O31" s="126"/>
      <c r="P31" s="74"/>
    </row>
    <row r="32" spans="1:16" ht="15.75" thickBot="1" x14ac:dyDescent="0.3">
      <c r="A32" s="157"/>
      <c r="B32" s="60"/>
      <c r="C32" s="75" t="str">
        <f>VLOOKUP("Baugröße",Übersetzung!$A:$Y,MATCH($M$5,Übersetzung!$1:$1,0),0)</f>
        <v>Baugröße</v>
      </c>
      <c r="D32" s="76" t="str">
        <f>IF($H$8&lt;=550,"Un AC",IF($H$8&lt;=800,"Un DC","-"))</f>
        <v>Un AC</v>
      </c>
      <c r="E32" s="77" t="s">
        <v>194</v>
      </c>
      <c r="F32" s="77" t="s">
        <v>360</v>
      </c>
      <c r="G32" s="78" t="str">
        <f>VLOOKUP("Art.-Nr.",Übersetzung!$A:$Y,MATCH($M$5,Übersetzung!$1:$1,0),0)</f>
        <v>Art.-Nr.</v>
      </c>
      <c r="H32" s="77" t="str">
        <f>VLOOKUP("LTL",Übersetzung!$A:$Y,MATCH($M$5,Übersetzung!$1:$1,0),0)</f>
        <v>LTL</v>
      </c>
      <c r="I32" s="77" t="str">
        <f>VLOOKUP("mech. SÜ",Übersetzung!$A:$Y,MATCH($M$5,Übersetzung!$1:$1,0),0)</f>
        <v>mech. SÜ</v>
      </c>
      <c r="J32" s="77" t="str">
        <f>VLOOKUP("LTL",Übersetzung!$A:$Y,MATCH($M$5,Übersetzung!$1:$1,0),0)</f>
        <v>LTL</v>
      </c>
      <c r="K32" s="77" t="str">
        <f>VLOOKUP("mech. SÜ",Übersetzung!$A:$Y,MATCH($M$5,Übersetzung!$1:$1,0),0)</f>
        <v>mech. SÜ</v>
      </c>
      <c r="L32" s="77" t="str">
        <f>VLOOKUP("LTL",Übersetzung!$A:$Y,MATCH($M$5,Übersetzung!$1:$1,0),0)</f>
        <v>LTL</v>
      </c>
      <c r="M32" s="77" t="str">
        <f>VLOOKUP("mech. SÜ",Übersetzung!$A:$Y,MATCH($M$5,Übersetzung!$1:$1,0),0)</f>
        <v>mech. SÜ</v>
      </c>
      <c r="N32" s="77" t="str">
        <f>VLOOKUP("LTL",Übersetzung!$A:$Y,MATCH($M$5,Übersetzung!$1:$1,0),0)</f>
        <v>LTL</v>
      </c>
      <c r="O32" s="77" t="str">
        <f>VLOOKUP("mech. SÜ",Übersetzung!$A:$Y,MATCH($M$5,Übersetzung!$1:$1,0),0)</f>
        <v>mech. SÜ</v>
      </c>
      <c r="P32" s="79"/>
    </row>
    <row r="33" spans="1:16" x14ac:dyDescent="0.25">
      <c r="A33" s="157"/>
      <c r="B33" s="141" t="str">
        <f>VLOOKUP("Einfach",Übersetzung!$A:$Y,MATCH($M$5,Übersetzung!$1:$1,0),0)</f>
        <v>Einfach</v>
      </c>
      <c r="C33" s="80" t="s">
        <v>224</v>
      </c>
      <c r="D33" s="144" t="str">
        <f>IF($H$8&lt;=440,"500V",IF($H$8&lt;=550,"690V",IF($H$8&lt;=700,"700V",IF($H$8&lt;=800,"800V","-"))))</f>
        <v>500V</v>
      </c>
      <c r="E33" s="81" t="str">
        <f ca="1">VLOOKUP($D$33,Berechnung!$A$6:$AE$10,6+IF($K$17="nein/no",0,1),0)</f>
        <v>-</v>
      </c>
      <c r="F33" s="104" t="str">
        <f ca="1">IF(ISNA(VLOOKUP($D$33,Berechnung!$A$6:$AE$10,5,0)),"-",CONCATENATE(VLOOKUP($D$33,Berechnung!$A$6:$AE$10,5,0),"A"))</f>
        <v>-</v>
      </c>
      <c r="G33" s="82" t="str">
        <f t="shared" ref="G33:G40" ca="1" si="0">IF(E33="-","-",HYPERLINK(CONCATENATE("https://shop.jeanmueller.de/web/",IF($M$5="deutsch","de_DE","en_GB"),"/all/a/PR/",E33,"/index.xhtml?pk_campaign=battery-protection"),E33))</f>
        <v>-</v>
      </c>
      <c r="H33" s="82" t="str">
        <f ca="1">IF($G33="-","-",HYPERLINK(CONCATENATE("https://shop.jeanmueller.de/web/",IF($M$5="deutsch","de_DE","en_GB"),"/all/a/PR/",KETO!B2,"/index.xhtml?pk_campaign=battery-protection"),KETO!B2))</f>
        <v>-</v>
      </c>
      <c r="I33" s="82" t="str">
        <f ca="1">IF($K$17="ja/yes",IF($G33="-","-",HYPERLINK(CONCATENATE("https://shop.jeanmueller.de/web/",IF($M$5="deutsch","de_DE","en_GB"),"/all/a/PR/",KETO!C2,"/index.xhtml?pk_campaign=battery-protection"),KETO!C2)),"-")</f>
        <v>-</v>
      </c>
      <c r="J33" s="82" t="str">
        <f ca="1">IF($G33="-","-",HYPERLINK(CONCATENATE("https://shop.jeanmueller.de/web/",IF($M$5="deutsch","de_DE","en_GB"),"/all/a/PR/",KETO!D2,"/index.xhtml?pk_campaign=battery-protection"),KETO!D2))</f>
        <v>-</v>
      </c>
      <c r="K33" s="82" t="str">
        <f ca="1">IF($K$17="ja/yes",IF($G33="-","-",HYPERLINK(CONCATENATE("https://shop.jeanmueller.de/web/",IF($M$5="deutsch","de_DE","en_GB"),"/all/a/PR/",KETO!E2,"/index.xhtml?pk_campaign=battery-protection"),KETO!E2)),"-")</f>
        <v>-</v>
      </c>
      <c r="L33" s="82" t="str">
        <f ca="1">IF($G33="-","-",HYPERLINK(CONCATENATE("https://shop.jeanmueller.de/web/",IF($M$5="deutsch","de_DE","en_GB"),"/all/a/PR/",KETO!F2,"/index.xhtml?pk_campaign=battery-protection"),KETO!F2))</f>
        <v>-</v>
      </c>
      <c r="M33" s="82" t="str">
        <f ca="1">IF($K$17="ja/yes",IF($G33="-","-",HYPERLINK(CONCATENATE("https://shop.jeanmueller.de/web/",IF($M$5="deutsch","de_DE","en_GB"),"/all/a/PR/",KETO!G2,"/index.xhtml?pk_campaign=battery-protection"),KETO!G2)),"-")</f>
        <v>-</v>
      </c>
      <c r="N33" s="82" t="s">
        <v>186</v>
      </c>
      <c r="O33" s="82" t="s">
        <v>186</v>
      </c>
      <c r="P33" s="83" t="str">
        <f ca="1">IF($G33="-","-",HYPERLINK(CONCATENATE("https://shop.jeanmueller.de/web/",IF($M$5="deutsch","de_DE","en_GB"),"/all/a/PR/",KETO!J2,"/index.xhtml?pk_campaign=battery-protection"),KETO!J2))</f>
        <v>-</v>
      </c>
    </row>
    <row r="34" spans="1:16" x14ac:dyDescent="0.25">
      <c r="A34" s="157"/>
      <c r="B34" s="142" t="e">
        <f>VLOOKUP("Leistung",Übersetzung!$A:$Y,MATCH($M$5,Übersetzung!$1:$1),0)</f>
        <v>#N/A</v>
      </c>
      <c r="C34" s="84" t="s">
        <v>36</v>
      </c>
      <c r="D34" s="145"/>
      <c r="E34" s="85" t="str">
        <f ca="1">VLOOKUP($D$33,Berechnung!$A$6:$AE$10,12+IF($K$17="nein/no",0,1),0)</f>
        <v>-</v>
      </c>
      <c r="F34" s="148" t="str">
        <f ca="1">IF(OR(ISNA(VLOOKUP($D$33,Berechnung!$A$6:$AE$10,11,0)),VLOOKUP($D$33,Berechnung!$A$6:$AE$10,11,0)=25),"-",CONCATENATE(VLOOKUP($D$33,Berechnung!$A$6:$AE$10,11,0),"A"))</f>
        <v>500A</v>
      </c>
      <c r="G34" s="86" t="str">
        <f t="shared" ca="1" si="0"/>
        <v>-</v>
      </c>
      <c r="H34" s="86" t="str">
        <f ca="1">IF($G34="-","-",HYPERLINK(CONCATENATE("https://shop.jeanmueller.de/web/",IF($M$5="deutsch","de_DE","en_GB"),"/all/a/PR/",KETO!B3,"/index.xhtml?pk_campaign=battery-protection"),KETO!B3))</f>
        <v>-</v>
      </c>
      <c r="I34" s="86" t="str">
        <f ca="1">IF($K$17="ja/yes",IF($G34="-","-",HYPERLINK(CONCATENATE("https://shop.jeanmueller.de/web/",IF($M$5="deutsch","de_DE","en_GB"),"/all/a/PR/",KETO!C3,"/index.xhtml?pk_campaign=battery-protection"),KETO!C3)),"-")</f>
        <v>-</v>
      </c>
      <c r="J34" s="86" t="str">
        <f ca="1">IF($G34="-","-",HYPERLINK(CONCATENATE("https://shop.jeanmueller.de/web/",IF($M$5="deutsch","de_DE","en_GB"),"/all/a/PR/",KETO!D3,"/index.xhtml?pk_campaign=battery-protection"),KETO!D3))</f>
        <v>-</v>
      </c>
      <c r="K34" s="86" t="str">
        <f ca="1">IF($K$17="ja/yes",IF($G34="-","-",HYPERLINK(CONCATENATE("https://shop.jeanmueller.de/web/",IF($M$5="deutsch","de_DE","en_GB"),"/all/a/PR/",KETO!E3,"/index.xhtml?pk_campaign=battery-protection"),KETO!E3)),"-")</f>
        <v>-</v>
      </c>
      <c r="L34" s="86" t="str">
        <f ca="1">IF($G34="-","-",HYPERLINK(CONCATENATE("https://shop.jeanmueller.de/web/",IF($M$5="deutsch","de_DE","en_GB"),"/all/a/PR/",KETO!F3,"/index.xhtml?pk_campaign=battery-protection"),KETO!F3))</f>
        <v>-</v>
      </c>
      <c r="M34" s="86" t="str">
        <f ca="1">IF($K$17="ja/yes",IF($G34="-","-",HYPERLINK(CONCATENATE("https://shop.jeanmueller.de/web/",IF($M$5="deutsch","de_DE","en_GB"),"/all/a/PR/",KETO!G3,"/index.xhtml?pk_campaign=battery-protection"),KETO!G3)),"-")</f>
        <v>-</v>
      </c>
      <c r="N34" s="86" t="s">
        <v>186</v>
      </c>
      <c r="O34" s="86" t="s">
        <v>186</v>
      </c>
      <c r="P34" s="87" t="str">
        <f ca="1">IF($G34="-","-",HYPERLINK(CONCATENATE("https://shop.jeanmueller.de/web/",IF($M$5="deutsch","de_DE","en_GB"),"/all/a/PR/",KETO!J3,"/index.xhtml?pk_campaign=battery-protection"),KETO!J3))</f>
        <v>-</v>
      </c>
    </row>
    <row r="35" spans="1:16" x14ac:dyDescent="0.25">
      <c r="A35" s="157"/>
      <c r="B35" s="142" t="e">
        <f>VLOOKUP("Leistung",Übersetzung!$A:$Y,MATCH($M$5,Übersetzung!$1:$1),0)</f>
        <v>#N/A</v>
      </c>
      <c r="C35" s="84" t="s">
        <v>45</v>
      </c>
      <c r="D35" s="145"/>
      <c r="E35" s="85" t="str">
        <f ca="1">VLOOKUP($D$33,Berechnung!$A$6:$AE$10,18+IF($K$17="nein/no",0,1),0)</f>
        <v>-</v>
      </c>
      <c r="F35" s="148"/>
      <c r="G35" s="86" t="str">
        <f t="shared" ca="1" si="0"/>
        <v>-</v>
      </c>
      <c r="H35" s="86" t="str">
        <f ca="1">IF($G35="-","-",HYPERLINK(CONCATENATE("https://shop.jeanmueller.de/web/",IF($M$5="deutsch","de_DE","en_GB"),"/all/a/PR/",KETO!B4,"/index.xhtml?pk_campaign=battery-protection"),KETO!B4))</f>
        <v>-</v>
      </c>
      <c r="I35" s="86" t="str">
        <f ca="1">IF($K$17="ja/yes",IF($G35="-","-",HYPERLINK(CONCATENATE("https://shop.jeanmueller.de/web/",IF($M$5="deutsch","de_DE","en_GB"),"/all/a/PR/",KETO!C4,"/index.xhtml?pk_campaign=battery-protection"),KETO!C4)),"-")</f>
        <v>-</v>
      </c>
      <c r="J35" s="86" t="str">
        <f ca="1">IF($G35="-","-",HYPERLINK(CONCATENATE("https://shop.jeanmueller.de/web/",IF($M$5="deutsch","de_DE","en_GB"),"/all/a/PR/",KETO!D4,"/index.xhtml?pk_campaign=battery-protection"),KETO!D4))</f>
        <v>-</v>
      </c>
      <c r="K35" s="86" t="str">
        <f ca="1">IF($K$17="ja/yes",IF($G35="-","-",HYPERLINK(CONCATENATE("https://shop.jeanmueller.de/web/",IF($M$5="deutsch","de_DE","en_GB"),"/all/a/PR/",KETO!E4,"/index.xhtml?pk_campaign=battery-protection"),KETO!E4)),"-")</f>
        <v>-</v>
      </c>
      <c r="L35" s="86" t="str">
        <f ca="1">IF($G35="-","-",HYPERLINK(CONCATENATE("https://shop.jeanmueller.de/web/",IF($M$5="deutsch","de_DE","en_GB"),"/all/a/PR/",KETO!F4,"/index.xhtml?pk_campaign=battery-protection"),KETO!F4))</f>
        <v>-</v>
      </c>
      <c r="M35" s="86" t="str">
        <f ca="1">IF($K$17="ja/yes",IF($G35="-","-",HYPERLINK(CONCATENATE("https://shop.jeanmueller.de/web/",IF($M$5="deutsch","de_DE","en_GB"),"/all/a/PR/",KETO!G4,"/index.xhtml?pk_campaign=battery-protection"),KETO!G4)),"-")</f>
        <v>-</v>
      </c>
      <c r="N35" s="86" t="s">
        <v>186</v>
      </c>
      <c r="O35" s="86" t="s">
        <v>186</v>
      </c>
      <c r="P35" s="87" t="str">
        <f ca="1">IF($G35="-","-",HYPERLINK(CONCATENATE("https://shop.jeanmueller.de/web/",IF($M$5="deutsch","de_DE","en_GB"),"/all/a/PR/",KETO!J4,"/index.xhtml?pk_campaign=battery-protection"),KETO!J4))</f>
        <v>-</v>
      </c>
    </row>
    <row r="36" spans="1:16" x14ac:dyDescent="0.25">
      <c r="A36" s="157"/>
      <c r="B36" s="142" t="e">
        <f>VLOOKUP("Leistung",Übersetzung!$A:$Y,MATCH($M$5,Übersetzung!$1:$1),0)</f>
        <v>#N/A</v>
      </c>
      <c r="C36" s="84" t="s">
        <v>54</v>
      </c>
      <c r="D36" s="145"/>
      <c r="E36" s="85" t="str">
        <f ca="1">VLOOKUP($D$33,Berechnung!$A$6:$AE$10,24+IF($K$17="nein/no",0,1),0)</f>
        <v>R3216604</v>
      </c>
      <c r="F36" s="148"/>
      <c r="G36" s="86" t="str">
        <f t="shared" ca="1" si="0"/>
        <v>R3216604</v>
      </c>
      <c r="H36" s="86" t="str">
        <f ca="1">IF($G36="-","-",HYPERLINK(CONCATENATE("https://shop.jeanmueller.de/web/",IF($M$5="deutsch","de_DE","en_GB"),"/all/a/PR/",KETO!B5,"/index.xhtml?pk_campaign=battery-protection"),KETO!B5))</f>
        <v>T300111002</v>
      </c>
      <c r="I36" s="86" t="str">
        <f ca="1">IF($K$17="ja/yes",IF($G36="-","-",HYPERLINK(CONCATENATE("https://shop.jeanmueller.de/web/",IF($M$5="deutsch","de_DE","en_GB"),"/all/a/PR/",KETO!C5,"/index.xhtml?pk_campaign=battery-protection"),KETO!C5)),"-")</f>
        <v>T8092170</v>
      </c>
      <c r="J36" s="86" t="str">
        <f ca="1">IF($G36="-","-",HYPERLINK(CONCATENATE("https://shop.jeanmueller.de/web/",IF($M$5="deutsch","de_DE","en_GB"),"/all/a/PR/",KETO!D5,"/index.xhtml?pk_campaign=battery-protection"),KETO!D5))</f>
        <v>T300112002</v>
      </c>
      <c r="K36" s="86" t="str">
        <f ca="1">IF($K$17="ja/yes",IF($G36="-","-",HYPERLINK(CONCATENATE("https://shop.jeanmueller.de/web/",IF($M$5="deutsch","de_DE","en_GB"),"/all/a/PR/",KETO!E5,"/index.xhtml?pk_campaign=battery-protection"),KETO!E5)),"-")</f>
        <v>T8092170</v>
      </c>
      <c r="L36" s="86" t="str">
        <f ca="1">IF($G36="-","-",HYPERLINK(CONCATENATE("https://shop.jeanmueller.de/web/",IF($M$5="deutsch","de_DE","en_GB"),"/all/a/PR/",KETO!F5,"/index.xhtml?pk_campaign=battery-protection"),KETO!F5))</f>
        <v>T300113002</v>
      </c>
      <c r="M36" s="86" t="str">
        <f ca="1">IF($K$17="ja/yes",IF($G36="-","-",HYPERLINK(CONCATENATE("https://shop.jeanmueller.de/web/",IF($M$5="deutsch","de_DE","en_GB"),"/all/a/PR/",KETO!G5,"/index.xhtml?pk_campaign=battery-protection"),KETO!G5)),"-")</f>
        <v>T8092170</v>
      </c>
      <c r="N36" s="86" t="s">
        <v>186</v>
      </c>
      <c r="O36" s="86" t="s">
        <v>186</v>
      </c>
      <c r="P36" s="87" t="str">
        <f ca="1">IF($G36="-","-",HYPERLINK(CONCATENATE("https://shop.jeanmueller.de/web/",IF($M$5="deutsch","de_DE","en_GB"),"/all/a/PR/",KETO!J5,"/index.xhtml?pk_campaign=battery-protection"),KETO!J5))</f>
        <v>N8386910</v>
      </c>
    </row>
    <row r="37" spans="1:16" ht="15.75" thickBot="1" x14ac:dyDescent="0.3">
      <c r="A37" s="157"/>
      <c r="B37" s="143" t="e">
        <f>VLOOKUP("Leistung",Übersetzung!$A:$Y,MATCH($M$5,Übersetzung!$1:$1),0)</f>
        <v>#N/A</v>
      </c>
      <c r="C37" s="88" t="s">
        <v>62</v>
      </c>
      <c r="D37" s="146"/>
      <c r="E37" s="89" t="str">
        <f ca="1">VLOOKUP($D$33,Berechnung!$A$6:$AE$10,30+IF($K$17="nein/no",0,1),0)</f>
        <v>-</v>
      </c>
      <c r="F37" s="149"/>
      <c r="G37" s="90" t="str">
        <f t="shared" ca="1" si="0"/>
        <v>-</v>
      </c>
      <c r="H37" s="90" t="str">
        <f ca="1">IF($G37="-","-",HYPERLINK(CONCATENATE("https://shop.jeanmueller.de/web/",IF($M$5="deutsch","de_DE","en_GB"),"/all/a/PR/",IF(LEFT($E$37,6)="R42182",KETO!B7,KETO!B6),"/index.xhtml?pk_campaign=battery-protection"),IF(LEFT($E$37,6)="R42182",KETO!B7,KETO!B6)))</f>
        <v>-</v>
      </c>
      <c r="I37" s="90" t="str">
        <f ca="1">IF($K$17="ja/yes",IF($G37="-","-",HYPERLINK(CONCATENATE("https://shop.jeanmueller.de/web/",IF($M$5="deutsch","de_DE","en_GB"),"/all/a/PR/",KETO!C6,"/index.xhtml?pk_campaign=battery-protection"),KETO!C6)),"-")</f>
        <v>-</v>
      </c>
      <c r="J37" s="90" t="str">
        <f ca="1">IF($G37="-","-",HYPERLINK(CONCATENATE("https://shop.jeanmueller.de/web/",IF($M$5="deutsch","de_DE","en_GB"),"/all/a/PR/",IF(LEFT($E$37,6)="R42182",KETO!D7,KETO!D6),"/index.xhtml?pk_campaign=battery-protection"),IF(LEFT($E$37,6)="R42182",KETO!D7,KETO!D6)))</f>
        <v>-</v>
      </c>
      <c r="K37" s="90" t="str">
        <f ca="1">IF($K$17="ja/yes",IF($G37="-","-",HYPERLINK(CONCATENATE("https://shop.jeanmueller.de/web/",IF($M$5="deutsch","de_DE","en_GB"),"/all/a/PR/",KETO!E6,"/index.xhtml?pk_campaign=battery-protection"),KETO!E6)),"-")</f>
        <v>-</v>
      </c>
      <c r="L37" s="90" t="str">
        <f ca="1">IF($G37="-","-",HYPERLINK(CONCATENATE("https://shop.jeanmueller.de/web/",IF($M$5="deutsch","de_DE","en_GB"),"/all/a/PR/",IF(LEFT($E$37,6)="R42182",KETO!F7,KETO!F6),"/index.xhtml?pk_campaign=battery-protection"),IF(LEFT($E$37,6)="R42182",KETO!F7,KETO!F6)))</f>
        <v>-</v>
      </c>
      <c r="M37" s="90" t="str">
        <f ca="1">IF($K$17="ja/yes",IF($G37="-","-",HYPERLINK(CONCATENATE("https://shop.jeanmueller.de/web/",IF($M$5="deutsch","de_DE","en_GB"),"/all/a/PR/",KETO!G6,"/index.xhtml?pk_campaign=battery-protection"),KETO!G6)),"-")</f>
        <v>-</v>
      </c>
      <c r="N37" s="90" t="s">
        <v>186</v>
      </c>
      <c r="O37" s="90" t="s">
        <v>186</v>
      </c>
      <c r="P37" s="91" t="str">
        <f ca="1">IF($G37="-","-",HYPERLINK(CONCATENATE("https://shop.jeanmueller.de/web/",IF($M$5="deutsch","de_DE","en_GB"),"/all/a/PR/",IF(LEFT($E$37,6)="R42182",KETO!J7,KETO!J6),"/index.xhtml"),IF(LEFT($E$37,6)="R42182",KETO!J7,KETO!J6)))</f>
        <v>-</v>
      </c>
    </row>
    <row r="38" spans="1:16" x14ac:dyDescent="0.25">
      <c r="A38" s="157"/>
      <c r="B38" s="142" t="str">
        <f>VLOOKUP("Parallel",Übersetzung!$A:$Y,MATCH($M$5,Übersetzung!$1:$1,0),0)</f>
        <v>Parallel</v>
      </c>
      <c r="C38" s="92" t="s">
        <v>217</v>
      </c>
      <c r="D38" s="147" t="str">
        <f>IF($H$8&lt;=440,"500V",IF($H$8&lt;=550,"690V",IF($H$8&lt;=700,"700V",IF($H$8&lt;=800,"800V","-"))))</f>
        <v>500V</v>
      </c>
      <c r="E38" s="101" t="str">
        <f ca="1">VLOOKUP($D$33,Berechnung!$A$17:$AE$21,18+IF($K$17="nein/no",0,1),0)</f>
        <v>R2215904</v>
      </c>
      <c r="F38" s="159" t="str">
        <f ca="1">IF(OR(ISNA(VLOOKUP($D$33,Berechnung!$A$17:$AE$21,11,0)),VLOOKUP($D$33,Berechnung!$A$17:$AE$21,11,0)&lt;315),"-",CONCATENATE("2x",VLOOKUP($D$33,Berechnung!$A$17:$AE$21,11,0),"A"))</f>
        <v>2x315A</v>
      </c>
      <c r="G38" s="102" t="str">
        <f t="shared" ca="1" si="0"/>
        <v>R2215904</v>
      </c>
      <c r="H38" s="102" t="s">
        <v>186</v>
      </c>
      <c r="I38" s="102" t="s">
        <v>186</v>
      </c>
      <c r="J38" s="102" t="str">
        <f ca="1">IF($G38="-","-",HYPERLINK(CONCATENATE("https://shop.jeanmueller.de/web/",IF($M$5="deutsch","de_DE","en_GB"),"/all/a/PR/",KETO!D4,"/index.xhtml?pk_campaign=battery-protection"),KETO!D4))</f>
        <v>T300112002</v>
      </c>
      <c r="K38" s="102" t="str">
        <f ca="1">IF($K$17="ja/yes",IF($G38="-","-",HYPERLINK(CONCATENATE("https://shop.jeanmueller.de/web/",IF($M$5="deutsch","de_DE","en_GB"),"/all/a/PR/",KETO!E4,"/index.xhtml?pk_campaign=battery-protection"),KETO!E4)),"-")</f>
        <v>T8092170</v>
      </c>
      <c r="L38" s="102" t="s">
        <v>186</v>
      </c>
      <c r="M38" s="102" t="s">
        <v>186</v>
      </c>
      <c r="N38" s="102" t="str">
        <f ca="1">IF($G38="-","-",HYPERLINK(CONCATENATE("https://shop.jeanmueller.de/web/",IF($M$5="deutsch","de_DE","en_GB"),"/all/a/PR/",KETO!H4,"/index.xhtml?pk_campaign=battery-protection"),KETO!H4))</f>
        <v>T300114002</v>
      </c>
      <c r="O38" s="102" t="str">
        <f ca="1">IF($K$17="ja/yes",IF($G38="-","-",HYPERLINK(CONCATENATE("https://shop.jeanmueller.de/web/",IF($M$5="deutsch","de_DE","en_GB"),"/all/a/PR/",KETO!I4,"/index.xhtml?pk_campaign=battery-protection"),KETO!I4)),"-")</f>
        <v>T8092170</v>
      </c>
      <c r="P38" s="103" t="str">
        <f ca="1">IF($G38="-","-",HYPERLINK(CONCATENATE("https://shop.jeanmueller.de/web/",IF($M$5="deutsch","de_DE","en_GB"),"/all/a/PR/",KETO!J4,"/index.xhtml?pk_campaign=battery-protection"),KETO!J4))</f>
        <v>N8286210</v>
      </c>
    </row>
    <row r="39" spans="1:16" x14ac:dyDescent="0.25">
      <c r="A39" s="157"/>
      <c r="B39" s="142" t="e">
        <f>VLOOKUP("Leistung",Übersetzung!$A:$Y,MATCH($M$5,Übersetzung!$1:$1),0)</f>
        <v>#N/A</v>
      </c>
      <c r="C39" s="93" t="s">
        <v>216</v>
      </c>
      <c r="D39" s="148"/>
      <c r="E39" s="85" t="str">
        <f ca="1">VLOOKUP($D$33,Berechnung!$A$17:$AE$21,24+IF($K$17="nein/no",0,1),0)</f>
        <v>R3215904</v>
      </c>
      <c r="F39" s="148"/>
      <c r="G39" s="86" t="str">
        <f t="shared" ca="1" si="0"/>
        <v>R3215904</v>
      </c>
      <c r="H39" s="86" t="s">
        <v>186</v>
      </c>
      <c r="I39" s="86" t="s">
        <v>186</v>
      </c>
      <c r="J39" s="86" t="str">
        <f ca="1">IF($G39="-","-",HYPERLINK(CONCATENATE("https://shop.jeanmueller.de/web/",IF($M$5="deutsch","de_DE","en_GB"),"/all/a/PR/",KETO!D5,"/index.xhtml?pk_campaign=battery-protection"),KETO!D5))</f>
        <v>T300112002</v>
      </c>
      <c r="K39" s="86" t="str">
        <f ca="1">IF($K$17="ja/yes",IF($G39="-","-",HYPERLINK(CONCATENATE("https://shop.jeanmueller.de/web/",IF($M$5="deutsch","de_DE","en_GB"),"/all/a/PR/",KETO!E5,"/index.xhtml?pk_campaign=battery-protection"),KETO!E5)),"-")</f>
        <v>T8092170</v>
      </c>
      <c r="L39" s="86" t="s">
        <v>186</v>
      </c>
      <c r="M39" s="86" t="s">
        <v>186</v>
      </c>
      <c r="N39" s="86" t="str">
        <f ca="1">IF($G39="-","-",HYPERLINK(CONCATENATE("https://shop.jeanmueller.de/web/",IF($M$5="deutsch","de_DE","en_GB"),"/all/a/PR/",KETO!H5,"/index.xhtml?pk_campaign=battery-protection"),KETO!H5))</f>
        <v>T300114002</v>
      </c>
      <c r="O39" s="102" t="str">
        <f ca="1">IF($K$17="ja/yes",IF($G39="-","-",HYPERLINK(CONCATENATE("https://shop.jeanmueller.de/web/",IF($M$5="deutsch","de_DE","en_GB"),"/all/a/PR/",KETO!I5,"/index.xhtml?pk_campaign=battery-protection"),KETO!I5)),"-")</f>
        <v>T8092170</v>
      </c>
      <c r="P39" s="87" t="str">
        <f ca="1">IF($G39="-","-",HYPERLINK(CONCATENATE("https://shop.jeanmueller.de/web/",IF($M$5="deutsch","de_DE","en_GB"),"/all/a/PR/",KETO!J5,"/index.xhtml?pk_campaign=battery-protection"),KETO!J5))</f>
        <v>N8386910</v>
      </c>
    </row>
    <row r="40" spans="1:16" ht="15.75" thickBot="1" x14ac:dyDescent="0.3">
      <c r="A40" s="158"/>
      <c r="B40" s="143" t="e">
        <f>VLOOKUP("Leistung",Übersetzung!$A:$Y,MATCH($M$5,Übersetzung!$1:$1),0)</f>
        <v>#N/A</v>
      </c>
      <c r="C40" s="94" t="s">
        <v>223</v>
      </c>
      <c r="D40" s="149"/>
      <c r="E40" s="89" t="str">
        <f ca="1">VLOOKUP($D$33,Berechnung!$A$17:$AE$21,30+IF($K$17="nein/no",0,1),0)</f>
        <v>-</v>
      </c>
      <c r="F40" s="149"/>
      <c r="G40" s="90" t="str">
        <f t="shared" ca="1" si="0"/>
        <v>-</v>
      </c>
      <c r="H40" s="90" t="s">
        <v>186</v>
      </c>
      <c r="I40" s="90" t="s">
        <v>186</v>
      </c>
      <c r="J40" s="90" t="str">
        <f ca="1">IF($G40="-","-",HYPERLINK(CONCATENATE("https://shop.jeanmueller.de/web/",IF($M$5="deutsch","de_DE","en_GB"),"/all/a/PR/",IF(LEFT($E$40,6)="R42182",KETO!D7,KETO!D6),"/index.xhtml?pk_campaign=battery-protection"),IF(LEFT($E$40,6)="R42182",KETO!D7,KETO!D6)))</f>
        <v>-</v>
      </c>
      <c r="K40" s="90" t="str">
        <f ca="1">IF($K$17="ja/yes",IF($G40="-","-",HYPERLINK(CONCATENATE("https://shop.jeanmueller.de/web/",IF($M$5="deutsch","de_DE","en_GB"),"/all/a/PR/",KETO!E6,"/index.xhtml?pk_campaign=battery-protection"),KETO!E6)),"-")</f>
        <v>-</v>
      </c>
      <c r="L40" s="90" t="s">
        <v>186</v>
      </c>
      <c r="M40" s="90" t="s">
        <v>186</v>
      </c>
      <c r="N40" s="90" t="str">
        <f ca="1">IF($G40="-","-",HYPERLINK(CONCATENATE("https://shop.jeanmueller.de/web/",IF($M$5="deutsch","de_DE","en_GB"),"/all/a/PR/",IF(LEFT($E$40,6)="R42182",KETO!H7,KETO!H6),"/index.xhtml?pk_campaign=battery-protection"),IF(LEFT($E$40,6)="R42182",KETO!H7,KETO!H6)))</f>
        <v>-</v>
      </c>
      <c r="O40" s="90" t="str">
        <f ca="1">IF($K$17="ja/yes",IF($G40="-","-",HYPERLINK(CONCATENATE("https://shop.jeanmueller.de/web/",IF($M$5="deutsch","de_DE","en_GB"),"/all/a/PR/",KETO!I6,"/index.xhtml?pk_campaign=battery-protection"),KETO!I6)),"-")</f>
        <v>-</v>
      </c>
      <c r="P40" s="91" t="str">
        <f ca="1">IF($G40="-","-",HYPERLINK(CONCATENATE("https://shop.jeanmueller.de/web/",IF($M$5="deutsch","de_DE","en_GB"),"/all/a/PR/",IF(LEFT($E$40,6)="R42182",KETO!J7,KETO!J6),"/index.xhtml"),IF(LEFT($E$40,6)="R42182",KETO!J7,KETO!J6)))</f>
        <v>-</v>
      </c>
    </row>
    <row r="44" spans="1:16" ht="12.75" customHeight="1" x14ac:dyDescent="0.25"/>
  </sheetData>
  <mergeCells count="24">
    <mergeCell ref="B33:B37"/>
    <mergeCell ref="B38:B40"/>
    <mergeCell ref="D33:D37"/>
    <mergeCell ref="D38:D40"/>
    <mergeCell ref="O4:P4"/>
    <mergeCell ref="D6:D9"/>
    <mergeCell ref="D21:D23"/>
    <mergeCell ref="A4:L4"/>
    <mergeCell ref="A30:A40"/>
    <mergeCell ref="F34:F37"/>
    <mergeCell ref="F38:F40"/>
    <mergeCell ref="H31:I31"/>
    <mergeCell ref="J31:K31"/>
    <mergeCell ref="L31:M31"/>
    <mergeCell ref="A6:B7"/>
    <mergeCell ref="A8:B13"/>
    <mergeCell ref="D30:G30"/>
    <mergeCell ref="N31:O31"/>
    <mergeCell ref="N10:P10"/>
    <mergeCell ref="N11:P11"/>
    <mergeCell ref="N12:P15"/>
    <mergeCell ref="H30:O30"/>
    <mergeCell ref="H29:O29"/>
    <mergeCell ref="H26:K27"/>
  </mergeCells>
  <phoneticPr fontId="0" type="noConversion"/>
  <conditionalFormatting sqref="H7">
    <cfRule type="expression" dxfId="6" priority="13" stopIfTrue="1">
      <formula>IF(I6="kW",TRUE,FALSE)</formula>
    </cfRule>
  </conditionalFormatting>
  <conditionalFormatting sqref="G33:P40">
    <cfRule type="cellIs" dxfId="5" priority="14" stopIfTrue="1" operator="equal">
      <formula>"-"</formula>
    </cfRule>
  </conditionalFormatting>
  <conditionalFormatting sqref="H25 K25">
    <cfRule type="expression" dxfId="4" priority="15" stopIfTrue="1">
      <formula>IF($J$24="nein/no",TRUE,FALSE)</formula>
    </cfRule>
    <cfRule type="expression" priority="16" stopIfTrue="1">
      <formula>"$N$23=""ja/yes"""</formula>
    </cfRule>
  </conditionalFormatting>
  <conditionalFormatting sqref="J25">
    <cfRule type="expression" dxfId="3" priority="19" stopIfTrue="1">
      <formula>IF($J$24="nein/no",TRUE,FALSE)</formula>
    </cfRule>
  </conditionalFormatting>
  <conditionalFormatting sqref="H23:K23">
    <cfRule type="expression" dxfId="2" priority="20" stopIfTrue="1">
      <formula>IF($J$24="ja/yes",TRUE,FALSE)</formula>
    </cfRule>
  </conditionalFormatting>
  <conditionalFormatting sqref="H30:O30">
    <cfRule type="expression" dxfId="1" priority="2">
      <formula>IF($H$8&gt;440,TRUE,FALSE)</formula>
    </cfRule>
  </conditionalFormatting>
  <conditionalFormatting sqref="J22:K22">
    <cfRule type="expression" dxfId="0" priority="1">
      <formula>IF($J$22&gt;60,TRUE,FALSE)</formula>
    </cfRule>
  </conditionalFormatting>
  <dataValidations disablePrompts="1" count="3">
    <dataValidation type="list" allowBlank="1" showInputMessage="1" showErrorMessage="1" sqref="I6">
      <formula1>"kVA,kW"</formula1>
    </dataValidation>
    <dataValidation type="list" showInputMessage="1" showErrorMessage="1" sqref="K17 J24 M20 O20">
      <formula1>"ja/yes,nein/no"</formula1>
    </dataValidation>
    <dataValidation type="list" allowBlank="1" showInputMessage="1" showErrorMessage="1" sqref="M5">
      <formula1>"deutsch,english"</formula1>
    </dataValidation>
  </dataValidations>
  <hyperlinks>
    <hyperlink ref="O5" location="Hilfe!A1" display="Hilfe"/>
    <hyperlink ref="P5" location="Help!A1" display="Help"/>
  </hyperlinks>
  <pageMargins left="0.7" right="0.7" top="0.75" bottom="0.75" header="0.3" footer="0.3"/>
  <pageSetup paperSize="9" scale="77" orientation="landscape" r:id="rId1"/>
  <headerFooter alignWithMargins="0"/>
  <ignoredErrors>
    <ignoredError sqref="H24"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R30"/>
  <sheetViews>
    <sheetView workbookViewId="0">
      <selection activeCell="B26" sqref="B26:K26"/>
    </sheetView>
  </sheetViews>
  <sheetFormatPr baseColWidth="10" defaultColWidth="9.140625" defaultRowHeight="12.75" x14ac:dyDescent="0.2"/>
  <cols>
    <col min="1" max="1" width="9.140625" customWidth="1"/>
    <col min="2" max="2" width="7.28515625" customWidth="1"/>
    <col min="3" max="3" width="7.42578125" customWidth="1"/>
    <col min="4" max="4" width="7.140625" customWidth="1"/>
    <col min="5" max="5" width="6.85546875" customWidth="1"/>
    <col min="6" max="6" width="7.42578125" customWidth="1"/>
    <col min="7" max="7" width="7.140625" customWidth="1"/>
    <col min="8" max="8" width="7.28515625" customWidth="1"/>
    <col min="9" max="9" width="7" customWidth="1"/>
    <col min="10" max="11" width="7.28515625" customWidth="1"/>
    <col min="12" max="12" width="7" customWidth="1"/>
    <col min="13" max="13" width="6.85546875" customWidth="1"/>
    <col min="14" max="14" width="7" customWidth="1"/>
    <col min="15" max="15" width="6.7109375" customWidth="1"/>
    <col min="16" max="16" width="7.28515625" customWidth="1"/>
    <col min="17" max="17" width="7.42578125" customWidth="1"/>
    <col min="18" max="18" width="9.140625" style="116"/>
  </cols>
  <sheetData>
    <row r="3" spans="1:18" x14ac:dyDescent="0.2">
      <c r="A3" t="s">
        <v>4</v>
      </c>
    </row>
    <row r="4" spans="1:18" x14ac:dyDescent="0.2">
      <c r="R4" s="119" t="s">
        <v>20</v>
      </c>
    </row>
    <row r="5" spans="1:18" s="4" customFormat="1" x14ac:dyDescent="0.2">
      <c r="A5" s="4" t="s">
        <v>1</v>
      </c>
      <c r="B5" s="4">
        <v>630</v>
      </c>
      <c r="C5" s="4">
        <v>500</v>
      </c>
      <c r="D5" s="4">
        <v>425</v>
      </c>
      <c r="E5" s="4">
        <v>400</v>
      </c>
      <c r="F5" s="4">
        <v>350</v>
      </c>
      <c r="G5" s="4">
        <v>315</v>
      </c>
      <c r="H5" s="4">
        <v>250</v>
      </c>
      <c r="I5" s="4">
        <v>200</v>
      </c>
      <c r="J5" s="4">
        <v>160</v>
      </c>
      <c r="K5" s="4">
        <v>125</v>
      </c>
      <c r="L5" s="4">
        <v>100</v>
      </c>
      <c r="M5" s="4">
        <v>80</v>
      </c>
      <c r="N5" s="4">
        <v>63</v>
      </c>
      <c r="O5" s="4">
        <v>50</v>
      </c>
      <c r="P5" s="4">
        <v>40</v>
      </c>
      <c r="Q5" s="4">
        <v>35</v>
      </c>
      <c r="R5" s="115">
        <v>25</v>
      </c>
    </row>
    <row r="6" spans="1:18" x14ac:dyDescent="0.2">
      <c r="A6">
        <v>10</v>
      </c>
      <c r="B6">
        <v>1700</v>
      </c>
      <c r="C6">
        <v>1350</v>
      </c>
      <c r="D6">
        <v>1250</v>
      </c>
      <c r="E6">
        <v>1200</v>
      </c>
      <c r="F6">
        <v>1100</v>
      </c>
      <c r="G6">
        <v>1000</v>
      </c>
      <c r="H6">
        <v>790</v>
      </c>
      <c r="I6">
        <v>620</v>
      </c>
      <c r="J6">
        <v>490</v>
      </c>
      <c r="K6">
        <v>370</v>
      </c>
      <c r="L6">
        <v>315</v>
      </c>
      <c r="M6">
        <v>235</v>
      </c>
      <c r="N6">
        <v>170</v>
      </c>
      <c r="O6">
        <v>125</v>
      </c>
      <c r="P6">
        <v>105</v>
      </c>
      <c r="Q6">
        <v>84</v>
      </c>
      <c r="R6" s="116">
        <v>59</v>
      </c>
    </row>
    <row r="7" spans="1:18" x14ac:dyDescent="0.2">
      <c r="A7">
        <v>60</v>
      </c>
      <c r="B7">
        <v>1210</v>
      </c>
      <c r="C7">
        <v>1010</v>
      </c>
      <c r="D7">
        <v>930</v>
      </c>
      <c r="E7">
        <v>860</v>
      </c>
      <c r="F7">
        <v>745</v>
      </c>
      <c r="G7">
        <v>700</v>
      </c>
      <c r="H7">
        <v>550</v>
      </c>
      <c r="I7">
        <v>440</v>
      </c>
      <c r="J7">
        <v>335</v>
      </c>
      <c r="K7">
        <v>255</v>
      </c>
      <c r="L7">
        <v>220</v>
      </c>
      <c r="M7">
        <v>170</v>
      </c>
      <c r="N7">
        <v>120</v>
      </c>
      <c r="O7">
        <v>92</v>
      </c>
      <c r="P7">
        <v>73</v>
      </c>
      <c r="Q7">
        <v>60</v>
      </c>
      <c r="R7" s="116">
        <v>45</v>
      </c>
    </row>
    <row r="8" spans="1:18" x14ac:dyDescent="0.2">
      <c r="A8">
        <v>120</v>
      </c>
      <c r="B8">
        <v>1170</v>
      </c>
      <c r="C8">
        <v>960</v>
      </c>
      <c r="D8">
        <v>850</v>
      </c>
      <c r="E8">
        <v>800</v>
      </c>
      <c r="F8">
        <v>700</v>
      </c>
      <c r="G8">
        <v>630</v>
      </c>
      <c r="H8">
        <v>516</v>
      </c>
      <c r="I8">
        <v>417</v>
      </c>
      <c r="J8">
        <v>317</v>
      </c>
      <c r="K8">
        <v>233</v>
      </c>
      <c r="L8">
        <v>200</v>
      </c>
      <c r="M8">
        <v>150</v>
      </c>
      <c r="N8">
        <v>115</v>
      </c>
      <c r="O8">
        <v>84</v>
      </c>
      <c r="P8">
        <v>67</v>
      </c>
      <c r="Q8">
        <v>54</v>
      </c>
      <c r="R8" s="116">
        <v>42.5</v>
      </c>
    </row>
    <row r="9" spans="1:18" x14ac:dyDescent="0.2">
      <c r="A9">
        <v>180</v>
      </c>
      <c r="B9">
        <v>1150</v>
      </c>
      <c r="C9">
        <v>900</v>
      </c>
      <c r="D9">
        <v>800</v>
      </c>
      <c r="E9">
        <v>730</v>
      </c>
      <c r="F9">
        <v>640</v>
      </c>
      <c r="G9">
        <v>600</v>
      </c>
      <c r="H9">
        <v>480</v>
      </c>
      <c r="I9">
        <v>390</v>
      </c>
      <c r="J9">
        <v>295</v>
      </c>
      <c r="K9">
        <v>223</v>
      </c>
      <c r="L9">
        <v>190</v>
      </c>
      <c r="M9">
        <v>140</v>
      </c>
      <c r="N9">
        <v>110</v>
      </c>
      <c r="O9">
        <v>79</v>
      </c>
      <c r="P9">
        <v>62.5</v>
      </c>
      <c r="Q9">
        <v>51.5</v>
      </c>
      <c r="R9" s="116">
        <v>41.5</v>
      </c>
    </row>
    <row r="10" spans="1:18" x14ac:dyDescent="0.2">
      <c r="A10">
        <v>240</v>
      </c>
      <c r="B10">
        <v>1100</v>
      </c>
      <c r="C10">
        <v>860</v>
      </c>
      <c r="D10">
        <v>770</v>
      </c>
      <c r="E10">
        <v>720</v>
      </c>
      <c r="F10">
        <v>625</v>
      </c>
      <c r="G10">
        <v>580</v>
      </c>
      <c r="H10">
        <v>460</v>
      </c>
      <c r="I10">
        <v>370</v>
      </c>
      <c r="J10">
        <v>285</v>
      </c>
      <c r="K10">
        <v>220</v>
      </c>
      <c r="L10">
        <v>181</v>
      </c>
      <c r="M10">
        <v>135</v>
      </c>
      <c r="N10">
        <v>102</v>
      </c>
      <c r="O10">
        <v>76</v>
      </c>
      <c r="P10">
        <v>61.5</v>
      </c>
      <c r="Q10">
        <v>50</v>
      </c>
      <c r="R10" s="116">
        <v>41</v>
      </c>
    </row>
    <row r="11" spans="1:18" x14ac:dyDescent="0.2">
      <c r="A11">
        <v>300</v>
      </c>
      <c r="B11">
        <v>1050</v>
      </c>
      <c r="C11">
        <v>835</v>
      </c>
      <c r="D11">
        <v>735</v>
      </c>
      <c r="E11">
        <v>700</v>
      </c>
      <c r="F11">
        <v>610</v>
      </c>
      <c r="G11">
        <v>560</v>
      </c>
      <c r="H11">
        <v>440</v>
      </c>
      <c r="I11">
        <v>355</v>
      </c>
      <c r="J11">
        <v>270</v>
      </c>
      <c r="K11">
        <v>215</v>
      </c>
      <c r="L11">
        <v>170</v>
      </c>
      <c r="M11">
        <v>131</v>
      </c>
      <c r="N11">
        <v>100</v>
      </c>
      <c r="O11">
        <v>73</v>
      </c>
      <c r="P11">
        <v>60</v>
      </c>
      <c r="Q11">
        <v>48</v>
      </c>
      <c r="R11" s="116">
        <v>40</v>
      </c>
    </row>
    <row r="12" spans="1:18" x14ac:dyDescent="0.2">
      <c r="A12">
        <v>600</v>
      </c>
      <c r="B12">
        <v>930</v>
      </c>
      <c r="C12">
        <v>780</v>
      </c>
      <c r="D12">
        <v>680</v>
      </c>
      <c r="E12">
        <v>630</v>
      </c>
      <c r="F12">
        <v>550</v>
      </c>
      <c r="G12">
        <v>520</v>
      </c>
      <c r="H12">
        <v>417</v>
      </c>
      <c r="I12">
        <v>328</v>
      </c>
      <c r="J12">
        <v>245</v>
      </c>
      <c r="K12">
        <v>200</v>
      </c>
      <c r="L12">
        <v>155</v>
      </c>
      <c r="M12">
        <v>125</v>
      </c>
      <c r="N12">
        <v>92</v>
      </c>
      <c r="O12">
        <v>69</v>
      </c>
      <c r="P12">
        <v>53.5</v>
      </c>
      <c r="Q12">
        <v>44</v>
      </c>
      <c r="R12" s="116">
        <v>38</v>
      </c>
    </row>
    <row r="13" spans="1:18" x14ac:dyDescent="0.2">
      <c r="A13">
        <v>900</v>
      </c>
      <c r="B13">
        <v>900</v>
      </c>
      <c r="C13">
        <v>730</v>
      </c>
      <c r="D13">
        <v>650</v>
      </c>
      <c r="E13">
        <v>615</v>
      </c>
      <c r="F13">
        <v>530</v>
      </c>
      <c r="G13">
        <v>500</v>
      </c>
      <c r="H13">
        <v>400</v>
      </c>
      <c r="I13">
        <v>320</v>
      </c>
      <c r="J13">
        <v>237</v>
      </c>
      <c r="K13">
        <v>185</v>
      </c>
      <c r="L13">
        <v>149</v>
      </c>
      <c r="M13">
        <v>121</v>
      </c>
      <c r="N13">
        <v>88</v>
      </c>
      <c r="O13">
        <v>65</v>
      </c>
      <c r="P13">
        <v>52</v>
      </c>
      <c r="Q13">
        <v>43</v>
      </c>
      <c r="R13" s="116">
        <v>37</v>
      </c>
    </row>
    <row r="14" spans="1:18" x14ac:dyDescent="0.2">
      <c r="A14">
        <v>1200</v>
      </c>
      <c r="B14">
        <v>860</v>
      </c>
      <c r="C14">
        <v>725</v>
      </c>
      <c r="D14">
        <v>630</v>
      </c>
      <c r="E14">
        <v>600</v>
      </c>
      <c r="F14">
        <v>520</v>
      </c>
      <c r="G14">
        <v>490</v>
      </c>
      <c r="H14">
        <v>390</v>
      </c>
      <c r="I14">
        <v>315</v>
      </c>
      <c r="J14">
        <v>231</v>
      </c>
      <c r="K14">
        <v>182</v>
      </c>
      <c r="L14">
        <v>144</v>
      </c>
      <c r="M14">
        <v>120</v>
      </c>
      <c r="N14">
        <v>85</v>
      </c>
      <c r="O14">
        <v>63.5</v>
      </c>
      <c r="P14">
        <v>51.5</v>
      </c>
      <c r="Q14">
        <v>42</v>
      </c>
      <c r="R14" s="116">
        <v>35.5</v>
      </c>
    </row>
    <row r="15" spans="1:18" x14ac:dyDescent="0.2">
      <c r="A15">
        <v>1800</v>
      </c>
      <c r="B15">
        <v>835</v>
      </c>
      <c r="C15">
        <v>700</v>
      </c>
      <c r="D15">
        <v>617</v>
      </c>
      <c r="E15">
        <v>570</v>
      </c>
      <c r="F15">
        <v>510</v>
      </c>
      <c r="G15">
        <v>460</v>
      </c>
      <c r="H15">
        <v>361</v>
      </c>
      <c r="I15">
        <v>300</v>
      </c>
      <c r="J15">
        <v>224</v>
      </c>
      <c r="K15">
        <v>171</v>
      </c>
      <c r="L15">
        <v>139</v>
      </c>
      <c r="M15">
        <v>119</v>
      </c>
      <c r="N15">
        <v>82</v>
      </c>
      <c r="O15">
        <v>62</v>
      </c>
      <c r="P15">
        <v>49</v>
      </c>
      <c r="Q15">
        <v>40</v>
      </c>
      <c r="R15" s="116">
        <v>35</v>
      </c>
    </row>
    <row r="16" spans="1:18" x14ac:dyDescent="0.2">
      <c r="A16">
        <v>2400</v>
      </c>
      <c r="B16">
        <v>820</v>
      </c>
      <c r="C16">
        <v>670</v>
      </c>
      <c r="D16">
        <v>605</v>
      </c>
      <c r="E16">
        <v>558</v>
      </c>
      <c r="F16">
        <v>495</v>
      </c>
      <c r="G16">
        <v>446</v>
      </c>
      <c r="H16">
        <v>352</v>
      </c>
      <c r="I16">
        <v>290</v>
      </c>
      <c r="J16">
        <v>223</v>
      </c>
      <c r="K16">
        <v>168</v>
      </c>
      <c r="L16">
        <v>137</v>
      </c>
      <c r="M16">
        <v>118</v>
      </c>
      <c r="N16">
        <v>81</v>
      </c>
      <c r="O16">
        <v>60</v>
      </c>
      <c r="P16">
        <v>47</v>
      </c>
      <c r="Q16">
        <v>39.5</v>
      </c>
      <c r="R16" s="116">
        <v>34.5</v>
      </c>
    </row>
    <row r="17" spans="1:18" x14ac:dyDescent="0.2">
      <c r="A17">
        <v>3000</v>
      </c>
      <c r="B17">
        <v>810</v>
      </c>
      <c r="C17">
        <v>660</v>
      </c>
      <c r="D17">
        <v>600</v>
      </c>
      <c r="E17">
        <v>550</v>
      </c>
      <c r="F17">
        <v>490</v>
      </c>
      <c r="G17">
        <v>445</v>
      </c>
      <c r="H17">
        <v>350</v>
      </c>
      <c r="I17">
        <v>285</v>
      </c>
      <c r="J17">
        <v>222</v>
      </c>
      <c r="K17">
        <v>165</v>
      </c>
      <c r="L17">
        <v>135</v>
      </c>
      <c r="M17">
        <v>117</v>
      </c>
      <c r="N17">
        <v>80</v>
      </c>
      <c r="O17">
        <v>60</v>
      </c>
      <c r="P17">
        <v>46.5</v>
      </c>
      <c r="Q17">
        <v>39</v>
      </c>
      <c r="R17" s="116">
        <v>34</v>
      </c>
    </row>
    <row r="18" spans="1:18" x14ac:dyDescent="0.2">
      <c r="A18">
        <v>3600</v>
      </c>
      <c r="B18">
        <v>800</v>
      </c>
      <c r="C18">
        <v>650</v>
      </c>
      <c r="D18">
        <v>590</v>
      </c>
      <c r="E18">
        <v>540</v>
      </c>
      <c r="F18">
        <v>480</v>
      </c>
      <c r="G18">
        <v>440</v>
      </c>
      <c r="H18">
        <v>342</v>
      </c>
      <c r="I18">
        <v>280</v>
      </c>
      <c r="J18">
        <v>220</v>
      </c>
      <c r="K18">
        <v>163</v>
      </c>
      <c r="L18">
        <v>133</v>
      </c>
      <c r="M18">
        <v>115</v>
      </c>
      <c r="N18">
        <v>79</v>
      </c>
      <c r="O18">
        <v>59</v>
      </c>
      <c r="P18">
        <v>46</v>
      </c>
      <c r="Q18">
        <v>38</v>
      </c>
      <c r="R18" s="116">
        <v>34</v>
      </c>
    </row>
    <row r="19" spans="1:18" x14ac:dyDescent="0.2">
      <c r="A19">
        <v>5400</v>
      </c>
      <c r="B19">
        <v>780</v>
      </c>
      <c r="C19">
        <v>635</v>
      </c>
      <c r="D19">
        <v>565</v>
      </c>
      <c r="E19">
        <v>530</v>
      </c>
      <c r="F19">
        <v>465</v>
      </c>
      <c r="G19">
        <v>430</v>
      </c>
      <c r="H19">
        <v>335</v>
      </c>
      <c r="I19">
        <v>273</v>
      </c>
      <c r="J19">
        <v>212</v>
      </c>
      <c r="K19">
        <v>155</v>
      </c>
      <c r="L19">
        <v>130</v>
      </c>
      <c r="M19">
        <v>110</v>
      </c>
      <c r="N19">
        <v>76</v>
      </c>
      <c r="O19">
        <v>56.5</v>
      </c>
      <c r="P19">
        <v>44</v>
      </c>
      <c r="Q19">
        <v>36.5</v>
      </c>
      <c r="R19" s="116">
        <v>33.5</v>
      </c>
    </row>
    <row r="20" spans="1:18" x14ac:dyDescent="0.2">
      <c r="A20">
        <v>7200</v>
      </c>
      <c r="B20">
        <v>750</v>
      </c>
      <c r="C20">
        <v>625</v>
      </c>
      <c r="D20">
        <v>550</v>
      </c>
      <c r="E20">
        <v>525</v>
      </c>
      <c r="F20">
        <v>450</v>
      </c>
      <c r="G20">
        <v>420</v>
      </c>
      <c r="H20">
        <v>330</v>
      </c>
      <c r="I20">
        <v>268</v>
      </c>
      <c r="J20">
        <v>210</v>
      </c>
      <c r="K20">
        <v>153</v>
      </c>
      <c r="L20">
        <v>129</v>
      </c>
      <c r="M20">
        <v>108</v>
      </c>
      <c r="N20">
        <v>74</v>
      </c>
      <c r="O20">
        <v>55</v>
      </c>
      <c r="P20">
        <v>44</v>
      </c>
      <c r="Q20">
        <v>36</v>
      </c>
      <c r="R20" s="116">
        <v>33</v>
      </c>
    </row>
    <row r="21" spans="1:18" x14ac:dyDescent="0.2">
      <c r="A21">
        <v>9000</v>
      </c>
      <c r="B21">
        <v>740</v>
      </c>
      <c r="C21">
        <v>620</v>
      </c>
      <c r="D21">
        <v>540</v>
      </c>
      <c r="E21">
        <v>520</v>
      </c>
      <c r="F21">
        <v>450</v>
      </c>
      <c r="G21">
        <v>420</v>
      </c>
      <c r="H21">
        <v>325</v>
      </c>
      <c r="I21">
        <v>260</v>
      </c>
      <c r="J21">
        <v>205</v>
      </c>
      <c r="K21">
        <v>150</v>
      </c>
      <c r="L21">
        <v>125</v>
      </c>
      <c r="M21">
        <v>105</v>
      </c>
      <c r="N21">
        <v>73</v>
      </c>
      <c r="O21">
        <v>53.5</v>
      </c>
      <c r="P21">
        <v>44</v>
      </c>
      <c r="Q21">
        <v>35</v>
      </c>
      <c r="R21" s="116">
        <v>32</v>
      </c>
    </row>
    <row r="23" spans="1:18" x14ac:dyDescent="0.2">
      <c r="A23">
        <f>USV!J22*60</f>
        <v>900</v>
      </c>
      <c r="B23" s="3">
        <f ca="1">(OFFSET(B$5,IF($A23&gt;$A$21,0,$A24),0)+OFFSET(B$5,IF($A23&gt;$A$21,0,$A24+1),0))/2</f>
        <v>880</v>
      </c>
      <c r="C23" s="3">
        <f t="shared" ref="C23:R23" ca="1" si="0">(OFFSET(C$5,IF($A23&gt;$A$21,0,$A24),0)+OFFSET(C$5,IF($A23&gt;$A$21,0,$A24+1),0))/2</f>
        <v>727.5</v>
      </c>
      <c r="D23" s="3">
        <f t="shared" ca="1" si="0"/>
        <v>640</v>
      </c>
      <c r="E23" s="3">
        <f t="shared" ca="1" si="0"/>
        <v>607.5</v>
      </c>
      <c r="F23" s="3">
        <f t="shared" ca="1" si="0"/>
        <v>525</v>
      </c>
      <c r="G23" s="3">
        <f t="shared" ca="1" si="0"/>
        <v>495</v>
      </c>
      <c r="H23" s="3">
        <f t="shared" ca="1" si="0"/>
        <v>395</v>
      </c>
      <c r="I23" s="3">
        <f t="shared" ca="1" si="0"/>
        <v>317.5</v>
      </c>
      <c r="J23" s="3">
        <f t="shared" ca="1" si="0"/>
        <v>234</v>
      </c>
      <c r="K23" s="3">
        <f t="shared" ca="1" si="0"/>
        <v>183.5</v>
      </c>
      <c r="L23" s="3">
        <f t="shared" ca="1" si="0"/>
        <v>146.5</v>
      </c>
      <c r="M23" s="3">
        <f t="shared" ca="1" si="0"/>
        <v>120.5</v>
      </c>
      <c r="N23" s="3">
        <f t="shared" ca="1" si="0"/>
        <v>86.5</v>
      </c>
      <c r="O23" s="3">
        <f t="shared" ca="1" si="0"/>
        <v>64.25</v>
      </c>
      <c r="P23" s="3">
        <f t="shared" ca="1" si="0"/>
        <v>51.75</v>
      </c>
      <c r="Q23" s="3">
        <f t="shared" ca="1" si="0"/>
        <v>42.5</v>
      </c>
      <c r="R23" s="117">
        <f t="shared" ca="1" si="0"/>
        <v>36.25</v>
      </c>
    </row>
    <row r="24" spans="1:18" x14ac:dyDescent="0.2">
      <c r="A24" s="2">
        <f>MATCH($A23,$A$6:$A$21,1)</f>
        <v>8</v>
      </c>
      <c r="B24" s="3">
        <f ca="1">B23*IF($A23&gt;$A$21,1,0.85)</f>
        <v>748</v>
      </c>
      <c r="C24" s="3">
        <f t="shared" ref="C24:R24" ca="1" si="1">C23*IF($A23&gt;$A$21,1,0.85)</f>
        <v>618.375</v>
      </c>
      <c r="D24" s="3">
        <f t="shared" ca="1" si="1"/>
        <v>544</v>
      </c>
      <c r="E24" s="3">
        <f t="shared" ca="1" si="1"/>
        <v>516.375</v>
      </c>
      <c r="F24" s="3">
        <f t="shared" ca="1" si="1"/>
        <v>446.25</v>
      </c>
      <c r="G24" s="3">
        <f t="shared" ca="1" si="1"/>
        <v>420.75</v>
      </c>
      <c r="H24" s="3">
        <f t="shared" ca="1" si="1"/>
        <v>335.75</v>
      </c>
      <c r="I24" s="3">
        <f t="shared" ca="1" si="1"/>
        <v>269.875</v>
      </c>
      <c r="J24" s="3">
        <f t="shared" ca="1" si="1"/>
        <v>198.9</v>
      </c>
      <c r="K24" s="3">
        <f t="shared" ca="1" si="1"/>
        <v>155.97499999999999</v>
      </c>
      <c r="L24" s="3">
        <f t="shared" ca="1" si="1"/>
        <v>124.52499999999999</v>
      </c>
      <c r="M24" s="3">
        <f t="shared" ca="1" si="1"/>
        <v>102.425</v>
      </c>
      <c r="N24" s="3">
        <f t="shared" ca="1" si="1"/>
        <v>73.524999999999991</v>
      </c>
      <c r="O24" s="3">
        <f t="shared" ca="1" si="1"/>
        <v>54.612499999999997</v>
      </c>
      <c r="P24" s="3">
        <f t="shared" ca="1" si="1"/>
        <v>43.987499999999997</v>
      </c>
      <c r="Q24" s="3">
        <f t="shared" ca="1" si="1"/>
        <v>36.125</v>
      </c>
      <c r="R24" s="117">
        <f t="shared" ca="1" si="1"/>
        <v>30.8125</v>
      </c>
    </row>
    <row r="26" spans="1:18" x14ac:dyDescent="0.2">
      <c r="A26">
        <f>USV!M24*60</f>
        <v>600</v>
      </c>
      <c r="B26" s="3">
        <f ca="1">(OFFSET(B$5,IF($A26&gt;$A$21,0,$A27),0)+OFFSET(B$5,IF($A26&gt;$A$21,0,$A27+1),0))/2</f>
        <v>915</v>
      </c>
      <c r="C26" s="3">
        <f t="shared" ref="C26" ca="1" si="2">(OFFSET(C$5,IF($A26&gt;$A$21,0,$A27),0)+OFFSET(C$5,IF($A26&gt;$A$21,0,$A27+1),0))/2</f>
        <v>755</v>
      </c>
      <c r="D26" s="3">
        <f t="shared" ref="D26" ca="1" si="3">(OFFSET(D$5,IF($A26&gt;$A$21,0,$A27),0)+OFFSET(D$5,IF($A26&gt;$A$21,0,$A27+1),0))/2</f>
        <v>665</v>
      </c>
      <c r="E26" s="3">
        <f t="shared" ref="E26" ca="1" si="4">(OFFSET(E$5,IF($A26&gt;$A$21,0,$A27),0)+OFFSET(E$5,IF($A26&gt;$A$21,0,$A27+1),0))/2</f>
        <v>622.5</v>
      </c>
      <c r="F26" s="3">
        <f t="shared" ref="F26" ca="1" si="5">(OFFSET(F$5,IF($A26&gt;$A$21,0,$A27),0)+OFFSET(F$5,IF($A26&gt;$A$21,0,$A27+1),0))/2</f>
        <v>540</v>
      </c>
      <c r="G26" s="3">
        <f t="shared" ref="G26" ca="1" si="6">(OFFSET(G$5,IF($A26&gt;$A$21,0,$A27),0)+OFFSET(G$5,IF($A26&gt;$A$21,0,$A27+1),0))/2</f>
        <v>510</v>
      </c>
      <c r="H26" s="3">
        <f t="shared" ref="H26" ca="1" si="7">(OFFSET(H$5,IF($A26&gt;$A$21,0,$A27),0)+OFFSET(H$5,IF($A26&gt;$A$21,0,$A27+1),0))/2</f>
        <v>408.5</v>
      </c>
      <c r="I26" s="3">
        <f t="shared" ref="I26" ca="1" si="8">(OFFSET(I$5,IF($A26&gt;$A$21,0,$A27),0)+OFFSET(I$5,IF($A26&gt;$A$21,0,$A27+1),0))/2</f>
        <v>324</v>
      </c>
      <c r="J26" s="3">
        <f t="shared" ref="J26" ca="1" si="9">(OFFSET(J$5,IF($A26&gt;$A$21,0,$A27),0)+OFFSET(J$5,IF($A26&gt;$A$21,0,$A27+1),0))/2</f>
        <v>241</v>
      </c>
      <c r="K26" s="3">
        <f t="shared" ref="K26" ca="1" si="10">(OFFSET(K$5,IF($A26&gt;$A$21,0,$A27),0)+OFFSET(K$5,IF($A26&gt;$A$21,0,$A27+1),0))/2</f>
        <v>192.5</v>
      </c>
      <c r="L26" s="3">
        <f t="shared" ref="L26" ca="1" si="11">(OFFSET(L$5,IF($A26&gt;$A$21,0,$A27),0)+OFFSET(L$5,IF($A26&gt;$A$21,0,$A27+1),0))/2</f>
        <v>152</v>
      </c>
      <c r="M26" s="3">
        <f t="shared" ref="M26" ca="1" si="12">(OFFSET(M$5,IF($A26&gt;$A$21,0,$A27),0)+OFFSET(M$5,IF($A26&gt;$A$21,0,$A27+1),0))/2</f>
        <v>123</v>
      </c>
      <c r="N26" s="3">
        <f t="shared" ref="N26" ca="1" si="13">(OFFSET(N$5,IF($A26&gt;$A$21,0,$A27),0)+OFFSET(N$5,IF($A26&gt;$A$21,0,$A27+1),0))/2</f>
        <v>90</v>
      </c>
      <c r="O26" s="3">
        <f t="shared" ref="O26" ca="1" si="14">(OFFSET(O$5,IF($A26&gt;$A$21,0,$A27),0)+OFFSET(O$5,IF($A26&gt;$A$21,0,$A27+1),0))/2</f>
        <v>67</v>
      </c>
      <c r="P26" s="3">
        <f t="shared" ref="P26" ca="1" si="15">(OFFSET(P$5,IF($A26&gt;$A$21,0,$A27),0)+OFFSET(P$5,IF($A26&gt;$A$21,0,$A27+1),0))/2</f>
        <v>52.75</v>
      </c>
      <c r="Q26" s="3">
        <f t="shared" ref="Q26:R26" ca="1" si="16">(OFFSET(Q$5,IF($A26&gt;$A$21,0,$A27),0)+OFFSET(Q$5,IF($A26&gt;$A$21,0,$A27+1),0))/2</f>
        <v>43.5</v>
      </c>
      <c r="R26" s="117">
        <f t="shared" ca="1" si="16"/>
        <v>37.5</v>
      </c>
    </row>
    <row r="27" spans="1:18" x14ac:dyDescent="0.2">
      <c r="A27" s="2">
        <f>MATCH($A26,$A$6:$A$21,1)</f>
        <v>7</v>
      </c>
      <c r="B27" s="3">
        <f ca="1">B26*IF($A26&gt;$A$21,1,0.85)</f>
        <v>777.75</v>
      </c>
      <c r="C27" s="3">
        <f t="shared" ref="C27" ca="1" si="17">C26*IF($A26&gt;$A$21,1,0.85)</f>
        <v>641.75</v>
      </c>
      <c r="D27" s="3">
        <f t="shared" ref="D27" ca="1" si="18">D26*IF($A26&gt;$A$21,1,0.85)</f>
        <v>565.25</v>
      </c>
      <c r="E27" s="3">
        <f t="shared" ref="E27" ca="1" si="19">E26*IF($A26&gt;$A$21,1,0.85)</f>
        <v>529.125</v>
      </c>
      <c r="F27" s="3">
        <f t="shared" ref="F27" ca="1" si="20">F26*IF($A26&gt;$A$21,1,0.85)</f>
        <v>459</v>
      </c>
      <c r="G27" s="3">
        <f t="shared" ref="G27" ca="1" si="21">G26*IF($A26&gt;$A$21,1,0.85)</f>
        <v>433.5</v>
      </c>
      <c r="H27" s="3">
        <f t="shared" ref="H27" ca="1" si="22">H26*IF($A26&gt;$A$21,1,0.85)</f>
        <v>347.22499999999997</v>
      </c>
      <c r="I27" s="3">
        <f t="shared" ref="I27" ca="1" si="23">I26*IF($A26&gt;$A$21,1,0.85)</f>
        <v>275.39999999999998</v>
      </c>
      <c r="J27" s="3">
        <f t="shared" ref="J27" ca="1" si="24">J26*IF($A26&gt;$A$21,1,0.85)</f>
        <v>204.85</v>
      </c>
      <c r="K27" s="3">
        <f t="shared" ref="K27" ca="1" si="25">K26*IF($A26&gt;$A$21,1,0.85)</f>
        <v>163.625</v>
      </c>
      <c r="L27" s="3">
        <f t="shared" ref="L27" ca="1" si="26">L26*IF($A26&gt;$A$21,1,0.85)</f>
        <v>129.19999999999999</v>
      </c>
      <c r="M27" s="3">
        <f t="shared" ref="M27" ca="1" si="27">M26*IF($A26&gt;$A$21,1,0.85)</f>
        <v>104.55</v>
      </c>
      <c r="N27" s="3">
        <f t="shared" ref="N27" ca="1" si="28">N26*IF($A26&gt;$A$21,1,0.85)</f>
        <v>76.5</v>
      </c>
      <c r="O27" s="3">
        <f t="shared" ref="O27" ca="1" si="29">O26*IF($A26&gt;$A$21,1,0.85)</f>
        <v>56.949999999999996</v>
      </c>
      <c r="P27" s="3">
        <f t="shared" ref="P27" ca="1" si="30">P26*IF($A26&gt;$A$21,1,0.85)</f>
        <v>44.837499999999999</v>
      </c>
      <c r="Q27" s="3">
        <f t="shared" ref="Q27:R27" ca="1" si="31">Q26*IF($A26&gt;$A$21,1,0.85)</f>
        <v>36.975000000000001</v>
      </c>
      <c r="R27" s="117">
        <f t="shared" ca="1" si="31"/>
        <v>31.875</v>
      </c>
    </row>
    <row r="29" spans="1:18" x14ac:dyDescent="0.2">
      <c r="A29">
        <f>USV!O24*60</f>
        <v>60</v>
      </c>
      <c r="B29" s="3">
        <f ca="1">(OFFSET(B$5,IF($A29&gt;$A$21,0,$A30),0)+OFFSET(B$5,IF($A29&gt;$A$21,0,$A30+1),0))/2</f>
        <v>1190</v>
      </c>
      <c r="C29" s="3">
        <f t="shared" ref="C29" ca="1" si="32">(OFFSET(C$5,IF($A29&gt;$A$21,0,$A30),0)+OFFSET(C$5,IF($A29&gt;$A$21,0,$A30+1),0))/2</f>
        <v>985</v>
      </c>
      <c r="D29" s="3">
        <f t="shared" ref="D29" ca="1" si="33">(OFFSET(D$5,IF($A29&gt;$A$21,0,$A30),0)+OFFSET(D$5,IF($A29&gt;$A$21,0,$A30+1),0))/2</f>
        <v>890</v>
      </c>
      <c r="E29" s="3">
        <f t="shared" ref="E29" ca="1" si="34">(OFFSET(E$5,IF($A29&gt;$A$21,0,$A30),0)+OFFSET(E$5,IF($A29&gt;$A$21,0,$A30+1),0))/2</f>
        <v>830</v>
      </c>
      <c r="F29" s="3">
        <f t="shared" ref="F29" ca="1" si="35">(OFFSET(F$5,IF($A29&gt;$A$21,0,$A30),0)+OFFSET(F$5,IF($A29&gt;$A$21,0,$A30+1),0))/2</f>
        <v>722.5</v>
      </c>
      <c r="G29" s="3">
        <f t="shared" ref="G29" ca="1" si="36">(OFFSET(G$5,IF($A29&gt;$A$21,0,$A30),0)+OFFSET(G$5,IF($A29&gt;$A$21,0,$A30+1),0))/2</f>
        <v>665</v>
      </c>
      <c r="H29" s="3">
        <f t="shared" ref="H29" ca="1" si="37">(OFFSET(H$5,IF($A29&gt;$A$21,0,$A30),0)+OFFSET(H$5,IF($A29&gt;$A$21,0,$A30+1),0))/2</f>
        <v>533</v>
      </c>
      <c r="I29" s="3">
        <f t="shared" ref="I29" ca="1" si="38">(OFFSET(I$5,IF($A29&gt;$A$21,0,$A30),0)+OFFSET(I$5,IF($A29&gt;$A$21,0,$A30+1),0))/2</f>
        <v>428.5</v>
      </c>
      <c r="J29" s="3">
        <f t="shared" ref="J29" ca="1" si="39">(OFFSET(J$5,IF($A29&gt;$A$21,0,$A30),0)+OFFSET(J$5,IF($A29&gt;$A$21,0,$A30+1),0))/2</f>
        <v>326</v>
      </c>
      <c r="K29" s="3">
        <f t="shared" ref="K29" ca="1" si="40">(OFFSET(K$5,IF($A29&gt;$A$21,0,$A30),0)+OFFSET(K$5,IF($A29&gt;$A$21,0,$A30+1),0))/2</f>
        <v>244</v>
      </c>
      <c r="L29" s="3">
        <f t="shared" ref="L29" ca="1" si="41">(OFFSET(L$5,IF($A29&gt;$A$21,0,$A30),0)+OFFSET(L$5,IF($A29&gt;$A$21,0,$A30+1),0))/2</f>
        <v>210</v>
      </c>
      <c r="M29" s="3">
        <f t="shared" ref="M29" ca="1" si="42">(OFFSET(M$5,IF($A29&gt;$A$21,0,$A30),0)+OFFSET(M$5,IF($A29&gt;$A$21,0,$A30+1),0))/2</f>
        <v>160</v>
      </c>
      <c r="N29" s="3">
        <f t="shared" ref="N29" ca="1" si="43">(OFFSET(N$5,IF($A29&gt;$A$21,0,$A30),0)+OFFSET(N$5,IF($A29&gt;$A$21,0,$A30+1),0))/2</f>
        <v>117.5</v>
      </c>
      <c r="O29" s="3">
        <f t="shared" ref="O29" ca="1" si="44">(OFFSET(O$5,IF($A29&gt;$A$21,0,$A30),0)+OFFSET(O$5,IF($A29&gt;$A$21,0,$A30+1),0))/2</f>
        <v>88</v>
      </c>
      <c r="P29" s="3">
        <f t="shared" ref="P29" ca="1" si="45">(OFFSET(P$5,IF($A29&gt;$A$21,0,$A30),0)+OFFSET(P$5,IF($A29&gt;$A$21,0,$A30+1),0))/2</f>
        <v>70</v>
      </c>
      <c r="Q29" s="3">
        <f t="shared" ref="Q29:R29" ca="1" si="46">(OFFSET(Q$5,IF($A29&gt;$A$21,0,$A30),0)+OFFSET(Q$5,IF($A29&gt;$A$21,0,$A30+1),0))/2</f>
        <v>57</v>
      </c>
      <c r="R29" s="117">
        <f t="shared" ca="1" si="46"/>
        <v>43.75</v>
      </c>
    </row>
    <row r="30" spans="1:18" x14ac:dyDescent="0.2">
      <c r="A30" s="2">
        <f>MATCH($A29,$A$6:$A$21,1)</f>
        <v>2</v>
      </c>
      <c r="B30" s="3">
        <f ca="1">B29*IF($A29&gt;$A$21,1,0.85)</f>
        <v>1011.5</v>
      </c>
      <c r="C30" s="3">
        <f t="shared" ref="C30" ca="1" si="47">C29*IF($A29&gt;$A$21,1,0.85)</f>
        <v>837.25</v>
      </c>
      <c r="D30" s="3">
        <f t="shared" ref="D30" ca="1" si="48">D29*IF($A29&gt;$A$21,1,0.85)</f>
        <v>756.5</v>
      </c>
      <c r="E30" s="3">
        <f t="shared" ref="E30" ca="1" si="49">E29*IF($A29&gt;$A$21,1,0.85)</f>
        <v>705.5</v>
      </c>
      <c r="F30" s="3">
        <f t="shared" ref="F30" ca="1" si="50">F29*IF($A29&gt;$A$21,1,0.85)</f>
        <v>614.125</v>
      </c>
      <c r="G30" s="3">
        <f t="shared" ref="G30" ca="1" si="51">G29*IF($A29&gt;$A$21,1,0.85)</f>
        <v>565.25</v>
      </c>
      <c r="H30" s="3">
        <f t="shared" ref="H30" ca="1" si="52">H29*IF($A29&gt;$A$21,1,0.85)</f>
        <v>453.05</v>
      </c>
      <c r="I30" s="3">
        <f t="shared" ref="I30" ca="1" si="53">I29*IF($A29&gt;$A$21,1,0.85)</f>
        <v>364.22499999999997</v>
      </c>
      <c r="J30" s="3">
        <f t="shared" ref="J30" ca="1" si="54">J29*IF($A29&gt;$A$21,1,0.85)</f>
        <v>277.09999999999997</v>
      </c>
      <c r="K30" s="3">
        <f t="shared" ref="K30" ca="1" si="55">K29*IF($A29&gt;$A$21,1,0.85)</f>
        <v>207.4</v>
      </c>
      <c r="L30" s="3">
        <f t="shared" ref="L30" ca="1" si="56">L29*IF($A29&gt;$A$21,1,0.85)</f>
        <v>178.5</v>
      </c>
      <c r="M30" s="3">
        <f t="shared" ref="M30" ca="1" si="57">M29*IF($A29&gt;$A$21,1,0.85)</f>
        <v>136</v>
      </c>
      <c r="N30" s="3">
        <f t="shared" ref="N30" ca="1" si="58">N29*IF($A29&gt;$A$21,1,0.85)</f>
        <v>99.875</v>
      </c>
      <c r="O30" s="3">
        <f t="shared" ref="O30" ca="1" si="59">O29*IF($A29&gt;$A$21,1,0.85)</f>
        <v>74.8</v>
      </c>
      <c r="P30" s="3">
        <f t="shared" ref="P30" ca="1" si="60">P29*IF($A29&gt;$A$21,1,0.85)</f>
        <v>59.5</v>
      </c>
      <c r="Q30" s="3">
        <f t="shared" ref="Q30:R30" ca="1" si="61">Q29*IF($A29&gt;$A$21,1,0.85)</f>
        <v>48.449999999999996</v>
      </c>
      <c r="R30" s="117">
        <f t="shared" ca="1" si="61"/>
        <v>37.1875</v>
      </c>
    </row>
  </sheetData>
  <phoneticPr fontId="0" type="noConversion"/>
  <pageMargins left="0.78740157499999996" right="0.78740157499999996" top="0.984251969" bottom="0.984251969"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29"/>
  <sheetViews>
    <sheetView topLeftCell="A7" workbookViewId="0">
      <selection activeCell="B26" sqref="B26:K26"/>
    </sheetView>
  </sheetViews>
  <sheetFormatPr baseColWidth="10" defaultColWidth="9.140625" defaultRowHeight="12.75" x14ac:dyDescent="0.2"/>
  <cols>
    <col min="1" max="1" width="19" style="11" bestFit="1" customWidth="1"/>
    <col min="2" max="16384" width="9.140625" style="6"/>
  </cols>
  <sheetData>
    <row r="1" spans="1:11" x14ac:dyDescent="0.2">
      <c r="B1" s="185" t="s">
        <v>21</v>
      </c>
      <c r="C1" s="185"/>
      <c r="D1" s="185"/>
      <c r="E1" s="185"/>
      <c r="F1" s="185"/>
      <c r="G1" s="185" t="s">
        <v>67</v>
      </c>
      <c r="H1" s="185"/>
      <c r="I1" s="185"/>
      <c r="J1" s="185"/>
      <c r="K1" s="185"/>
    </row>
    <row r="2" spans="1:11" x14ac:dyDescent="0.2">
      <c r="A2" s="11" t="s">
        <v>18</v>
      </c>
      <c r="B2" s="7" t="s">
        <v>20</v>
      </c>
      <c r="C2" s="5" t="s">
        <v>36</v>
      </c>
      <c r="D2" s="5" t="s">
        <v>45</v>
      </c>
      <c r="E2" s="5" t="s">
        <v>54</v>
      </c>
      <c r="F2" s="5" t="s">
        <v>62</v>
      </c>
      <c r="G2" s="7" t="s">
        <v>20</v>
      </c>
      <c r="H2" s="5" t="s">
        <v>36</v>
      </c>
      <c r="I2" s="5" t="s">
        <v>45</v>
      </c>
      <c r="J2" s="5" t="s">
        <v>54</v>
      </c>
      <c r="K2" s="5" t="s">
        <v>62</v>
      </c>
    </row>
    <row r="3" spans="1:11" x14ac:dyDescent="0.2">
      <c r="A3" s="11">
        <v>6</v>
      </c>
      <c r="B3" s="5" t="s">
        <v>19</v>
      </c>
      <c r="C3" s="10" t="s">
        <v>186</v>
      </c>
      <c r="D3" s="10" t="s">
        <v>186</v>
      </c>
      <c r="E3" s="10" t="s">
        <v>186</v>
      </c>
      <c r="F3" s="10" t="s">
        <v>186</v>
      </c>
      <c r="G3" s="5" t="s">
        <v>66</v>
      </c>
      <c r="H3" s="10" t="s">
        <v>186</v>
      </c>
      <c r="I3" s="10" t="s">
        <v>186</v>
      </c>
      <c r="J3" s="10" t="s">
        <v>186</v>
      </c>
      <c r="K3" s="10" t="s">
        <v>186</v>
      </c>
    </row>
    <row r="4" spans="1:11" x14ac:dyDescent="0.2">
      <c r="A4" s="11">
        <v>10</v>
      </c>
      <c r="B4" s="5" t="s">
        <v>22</v>
      </c>
      <c r="C4" s="10" t="s">
        <v>186</v>
      </c>
      <c r="D4" s="10" t="s">
        <v>186</v>
      </c>
      <c r="E4" s="10" t="s">
        <v>186</v>
      </c>
      <c r="F4" s="10" t="s">
        <v>186</v>
      </c>
      <c r="G4" s="5" t="s">
        <v>68</v>
      </c>
      <c r="H4" s="10" t="s">
        <v>186</v>
      </c>
      <c r="I4" s="10" t="s">
        <v>186</v>
      </c>
      <c r="J4" s="10" t="s">
        <v>186</v>
      </c>
      <c r="K4" s="10" t="s">
        <v>186</v>
      </c>
    </row>
    <row r="5" spans="1:11" x14ac:dyDescent="0.2">
      <c r="A5" s="11">
        <v>16</v>
      </c>
      <c r="B5" s="5" t="s">
        <v>23</v>
      </c>
      <c r="C5" s="10" t="s">
        <v>186</v>
      </c>
      <c r="D5" s="10" t="s">
        <v>186</v>
      </c>
      <c r="E5" s="10" t="s">
        <v>186</v>
      </c>
      <c r="F5" s="10" t="s">
        <v>186</v>
      </c>
      <c r="G5" s="5" t="s">
        <v>69</v>
      </c>
      <c r="H5" s="10" t="s">
        <v>186</v>
      </c>
      <c r="I5" s="10" t="s">
        <v>186</v>
      </c>
      <c r="J5" s="10" t="s">
        <v>186</v>
      </c>
      <c r="K5" s="10" t="s">
        <v>186</v>
      </c>
    </row>
    <row r="6" spans="1:11" x14ac:dyDescent="0.2">
      <c r="A6" s="11">
        <v>20</v>
      </c>
      <c r="B6" s="5" t="s">
        <v>24</v>
      </c>
      <c r="C6" s="10" t="s">
        <v>186</v>
      </c>
      <c r="D6" s="10" t="s">
        <v>186</v>
      </c>
      <c r="E6" s="10" t="s">
        <v>186</v>
      </c>
      <c r="F6" s="10" t="s">
        <v>186</v>
      </c>
      <c r="G6" s="5" t="s">
        <v>70</v>
      </c>
      <c r="H6" s="10" t="s">
        <v>186</v>
      </c>
      <c r="I6" s="10" t="s">
        <v>186</v>
      </c>
      <c r="J6" s="10" t="s">
        <v>186</v>
      </c>
      <c r="K6" s="10" t="s">
        <v>186</v>
      </c>
    </row>
    <row r="7" spans="1:11" x14ac:dyDescent="0.2">
      <c r="A7" s="11">
        <v>25</v>
      </c>
      <c r="B7" s="5" t="s">
        <v>25</v>
      </c>
      <c r="C7" s="10" t="s">
        <v>186</v>
      </c>
      <c r="D7" s="10" t="s">
        <v>186</v>
      </c>
      <c r="E7" s="10" t="s">
        <v>186</v>
      </c>
      <c r="F7" s="10" t="s">
        <v>186</v>
      </c>
      <c r="G7" s="5" t="s">
        <v>71</v>
      </c>
      <c r="H7" s="10" t="s">
        <v>186</v>
      </c>
      <c r="I7" s="10" t="s">
        <v>186</v>
      </c>
      <c r="J7" s="10" t="s">
        <v>186</v>
      </c>
      <c r="K7" s="10" t="s">
        <v>186</v>
      </c>
    </row>
    <row r="8" spans="1:11" x14ac:dyDescent="0.2">
      <c r="A8" s="11">
        <v>32</v>
      </c>
      <c r="B8" s="5" t="s">
        <v>26</v>
      </c>
      <c r="C8" s="10" t="s">
        <v>186</v>
      </c>
      <c r="D8" s="10" t="s">
        <v>186</v>
      </c>
      <c r="E8" s="10" t="s">
        <v>186</v>
      </c>
      <c r="F8" s="10" t="s">
        <v>186</v>
      </c>
      <c r="G8" s="5" t="s">
        <v>72</v>
      </c>
      <c r="H8" s="10" t="s">
        <v>186</v>
      </c>
      <c r="I8" s="10" t="s">
        <v>186</v>
      </c>
      <c r="J8" s="10" t="s">
        <v>186</v>
      </c>
      <c r="K8" s="10" t="s">
        <v>186</v>
      </c>
    </row>
    <row r="9" spans="1:11" x14ac:dyDescent="0.2">
      <c r="A9" s="11">
        <v>35</v>
      </c>
      <c r="B9" s="5" t="s">
        <v>27</v>
      </c>
      <c r="C9" s="10" t="s">
        <v>186</v>
      </c>
      <c r="D9" s="10" t="s">
        <v>186</v>
      </c>
      <c r="E9" s="10" t="s">
        <v>186</v>
      </c>
      <c r="F9" s="10" t="s">
        <v>186</v>
      </c>
      <c r="G9" s="5" t="s">
        <v>73</v>
      </c>
      <c r="H9" s="10" t="s">
        <v>186</v>
      </c>
      <c r="I9" s="10" t="s">
        <v>186</v>
      </c>
      <c r="J9" s="10" t="s">
        <v>186</v>
      </c>
      <c r="K9" s="10" t="s">
        <v>186</v>
      </c>
    </row>
    <row r="10" spans="1:11" x14ac:dyDescent="0.2">
      <c r="A10" s="11">
        <v>40</v>
      </c>
      <c r="B10" s="5" t="s">
        <v>28</v>
      </c>
      <c r="C10" s="10" t="s">
        <v>186</v>
      </c>
      <c r="D10" s="10" t="s">
        <v>186</v>
      </c>
      <c r="E10" s="10" t="s">
        <v>186</v>
      </c>
      <c r="F10" s="10" t="s">
        <v>186</v>
      </c>
      <c r="G10" s="5" t="s">
        <v>74</v>
      </c>
      <c r="H10" s="10" t="s">
        <v>186</v>
      </c>
      <c r="I10" s="10" t="s">
        <v>186</v>
      </c>
      <c r="J10" s="10" t="s">
        <v>186</v>
      </c>
      <c r="K10" s="10" t="s">
        <v>186</v>
      </c>
    </row>
    <row r="11" spans="1:11" x14ac:dyDescent="0.2">
      <c r="A11" s="11">
        <v>50</v>
      </c>
      <c r="B11" s="5" t="s">
        <v>29</v>
      </c>
      <c r="C11" s="10" t="s">
        <v>186</v>
      </c>
      <c r="D11" s="10" t="s">
        <v>186</v>
      </c>
      <c r="E11" s="10" t="s">
        <v>186</v>
      </c>
      <c r="F11" s="10" t="s">
        <v>186</v>
      </c>
      <c r="G11" s="5" t="s">
        <v>75</v>
      </c>
      <c r="H11" s="10" t="s">
        <v>186</v>
      </c>
      <c r="I11" s="10" t="s">
        <v>186</v>
      </c>
      <c r="J11" s="10" t="s">
        <v>186</v>
      </c>
      <c r="K11" s="10" t="s">
        <v>186</v>
      </c>
    </row>
    <row r="12" spans="1:11" x14ac:dyDescent="0.2">
      <c r="A12" s="11">
        <v>63</v>
      </c>
      <c r="B12" s="5" t="s">
        <v>30</v>
      </c>
      <c r="C12" s="5" t="s">
        <v>35</v>
      </c>
      <c r="D12" s="10" t="s">
        <v>186</v>
      </c>
      <c r="E12" s="10" t="s">
        <v>186</v>
      </c>
      <c r="F12" s="10" t="s">
        <v>186</v>
      </c>
      <c r="G12" s="5" t="s">
        <v>76</v>
      </c>
      <c r="H12" s="5" t="s">
        <v>81</v>
      </c>
      <c r="I12" s="10" t="s">
        <v>186</v>
      </c>
      <c r="J12" s="10" t="s">
        <v>186</v>
      </c>
      <c r="K12" s="10" t="s">
        <v>186</v>
      </c>
    </row>
    <row r="13" spans="1:11" x14ac:dyDescent="0.2">
      <c r="A13" s="11">
        <v>80</v>
      </c>
      <c r="B13" s="5" t="s">
        <v>31</v>
      </c>
      <c r="C13" s="5" t="s">
        <v>37</v>
      </c>
      <c r="D13" s="10" t="s">
        <v>186</v>
      </c>
      <c r="E13" s="10" t="s">
        <v>186</v>
      </c>
      <c r="F13" s="10" t="s">
        <v>186</v>
      </c>
      <c r="G13" s="5" t="s">
        <v>77</v>
      </c>
      <c r="H13" s="5" t="s">
        <v>82</v>
      </c>
      <c r="I13" s="10" t="s">
        <v>186</v>
      </c>
      <c r="J13" s="10" t="s">
        <v>186</v>
      </c>
      <c r="K13" s="10" t="s">
        <v>186</v>
      </c>
    </row>
    <row r="14" spans="1:11" x14ac:dyDescent="0.2">
      <c r="A14" s="11">
        <v>100</v>
      </c>
      <c r="B14" s="5" t="s">
        <v>32</v>
      </c>
      <c r="C14" s="5" t="s">
        <v>38</v>
      </c>
      <c r="D14" s="10" t="s">
        <v>186</v>
      </c>
      <c r="E14" s="10" t="s">
        <v>186</v>
      </c>
      <c r="F14" s="10" t="s">
        <v>186</v>
      </c>
      <c r="G14" s="5" t="s">
        <v>78</v>
      </c>
      <c r="H14" s="5" t="s">
        <v>83</v>
      </c>
      <c r="I14" s="10" t="s">
        <v>186</v>
      </c>
      <c r="J14" s="10" t="s">
        <v>186</v>
      </c>
      <c r="K14" s="10" t="s">
        <v>186</v>
      </c>
    </row>
    <row r="15" spans="1:11" x14ac:dyDescent="0.2">
      <c r="A15" s="11">
        <v>125</v>
      </c>
      <c r="B15" s="5" t="s">
        <v>33</v>
      </c>
      <c r="C15" s="5" t="s">
        <v>39</v>
      </c>
      <c r="D15" s="5" t="s">
        <v>44</v>
      </c>
      <c r="E15" s="10" t="s">
        <v>186</v>
      </c>
      <c r="F15" s="10" t="s">
        <v>186</v>
      </c>
      <c r="G15" s="5" t="s">
        <v>79</v>
      </c>
      <c r="H15" s="5" t="s">
        <v>84</v>
      </c>
      <c r="I15" s="5" t="s">
        <v>89</v>
      </c>
      <c r="J15" s="10" t="s">
        <v>186</v>
      </c>
      <c r="K15" s="10" t="s">
        <v>186</v>
      </c>
    </row>
    <row r="16" spans="1:11" x14ac:dyDescent="0.2">
      <c r="A16" s="11">
        <v>160</v>
      </c>
      <c r="B16" s="5" t="s">
        <v>34</v>
      </c>
      <c r="C16" s="5" t="s">
        <v>40</v>
      </c>
      <c r="D16" s="5" t="s">
        <v>46</v>
      </c>
      <c r="E16" s="10" t="s">
        <v>186</v>
      </c>
      <c r="F16" s="10" t="s">
        <v>186</v>
      </c>
      <c r="G16" s="5" t="s">
        <v>80</v>
      </c>
      <c r="H16" s="5" t="s">
        <v>85</v>
      </c>
      <c r="I16" s="5" t="s">
        <v>90</v>
      </c>
      <c r="J16" s="10" t="s">
        <v>186</v>
      </c>
      <c r="K16" s="10" t="s">
        <v>186</v>
      </c>
    </row>
    <row r="17" spans="1:11" x14ac:dyDescent="0.2">
      <c r="A17" s="11">
        <v>200</v>
      </c>
      <c r="B17" s="10" t="s">
        <v>186</v>
      </c>
      <c r="C17" s="5" t="s">
        <v>41</v>
      </c>
      <c r="D17" s="5" t="s">
        <v>47</v>
      </c>
      <c r="E17" s="10" t="s">
        <v>186</v>
      </c>
      <c r="F17" s="10" t="s">
        <v>186</v>
      </c>
      <c r="G17" s="10" t="s">
        <v>186</v>
      </c>
      <c r="H17" s="5" t="s">
        <v>86</v>
      </c>
      <c r="I17" s="5" t="s">
        <v>91</v>
      </c>
      <c r="J17" s="10" t="s">
        <v>186</v>
      </c>
      <c r="K17" s="10" t="s">
        <v>186</v>
      </c>
    </row>
    <row r="18" spans="1:11" x14ac:dyDescent="0.2">
      <c r="A18" s="11">
        <v>224</v>
      </c>
      <c r="B18" s="10" t="s">
        <v>186</v>
      </c>
      <c r="C18" s="5" t="s">
        <v>42</v>
      </c>
      <c r="D18" s="5" t="s">
        <v>48</v>
      </c>
      <c r="E18" s="10" t="s">
        <v>186</v>
      </c>
      <c r="F18" s="10" t="s">
        <v>186</v>
      </c>
      <c r="G18" s="10" t="s">
        <v>186</v>
      </c>
      <c r="H18" s="5" t="s">
        <v>87</v>
      </c>
      <c r="I18" s="5" t="s">
        <v>92</v>
      </c>
      <c r="J18" s="10" t="s">
        <v>186</v>
      </c>
      <c r="K18" s="10" t="s">
        <v>186</v>
      </c>
    </row>
    <row r="19" spans="1:11" x14ac:dyDescent="0.2">
      <c r="A19" s="11">
        <v>250</v>
      </c>
      <c r="B19" s="10" t="s">
        <v>186</v>
      </c>
      <c r="C19" s="5" t="s">
        <v>43</v>
      </c>
      <c r="D19" s="5" t="s">
        <v>49</v>
      </c>
      <c r="E19" s="5" t="s">
        <v>53</v>
      </c>
      <c r="F19" s="10" t="s">
        <v>186</v>
      </c>
      <c r="G19" s="10" t="s">
        <v>186</v>
      </c>
      <c r="H19" s="5" t="s">
        <v>88</v>
      </c>
      <c r="I19" s="5" t="s">
        <v>93</v>
      </c>
      <c r="J19" s="5" t="s">
        <v>97</v>
      </c>
      <c r="K19" s="10" t="s">
        <v>186</v>
      </c>
    </row>
    <row r="20" spans="1:11" x14ac:dyDescent="0.2">
      <c r="A20" s="11">
        <v>315</v>
      </c>
      <c r="B20" s="10" t="s">
        <v>186</v>
      </c>
      <c r="C20" s="10" t="s">
        <v>186</v>
      </c>
      <c r="D20" s="5" t="s">
        <v>50</v>
      </c>
      <c r="E20" s="5" t="s">
        <v>55</v>
      </c>
      <c r="F20" s="10" t="s">
        <v>186</v>
      </c>
      <c r="G20" s="10" t="s">
        <v>186</v>
      </c>
      <c r="H20" s="10" t="s">
        <v>186</v>
      </c>
      <c r="I20" s="5" t="s">
        <v>94</v>
      </c>
      <c r="J20" s="5" t="s">
        <v>98</v>
      </c>
      <c r="K20" s="10" t="s">
        <v>186</v>
      </c>
    </row>
    <row r="21" spans="1:11" x14ac:dyDescent="0.2">
      <c r="A21" s="11">
        <v>350</v>
      </c>
      <c r="B21" s="10" t="s">
        <v>186</v>
      </c>
      <c r="C21" s="10" t="s">
        <v>186</v>
      </c>
      <c r="D21" s="5" t="s">
        <v>51</v>
      </c>
      <c r="E21" s="5" t="s">
        <v>56</v>
      </c>
      <c r="F21" s="10" t="s">
        <v>186</v>
      </c>
      <c r="G21" s="10" t="s">
        <v>186</v>
      </c>
      <c r="H21" s="10" t="s">
        <v>186</v>
      </c>
      <c r="I21" s="5" t="s">
        <v>95</v>
      </c>
      <c r="J21" s="5" t="s">
        <v>99</v>
      </c>
      <c r="K21" s="10" t="s">
        <v>186</v>
      </c>
    </row>
    <row r="22" spans="1:11" x14ac:dyDescent="0.2">
      <c r="A22" s="11">
        <v>400</v>
      </c>
      <c r="B22" s="10" t="s">
        <v>186</v>
      </c>
      <c r="C22" s="10" t="s">
        <v>186</v>
      </c>
      <c r="D22" s="5" t="s">
        <v>52</v>
      </c>
      <c r="E22" s="5" t="s">
        <v>57</v>
      </c>
      <c r="F22" s="10" t="s">
        <v>186</v>
      </c>
      <c r="G22" s="10" t="s">
        <v>186</v>
      </c>
      <c r="H22" s="10" t="s">
        <v>186</v>
      </c>
      <c r="I22" s="5" t="s">
        <v>96</v>
      </c>
      <c r="J22" s="5" t="s">
        <v>100</v>
      </c>
      <c r="K22" s="10" t="s">
        <v>186</v>
      </c>
    </row>
    <row r="23" spans="1:11" x14ac:dyDescent="0.2">
      <c r="A23" s="11">
        <v>425</v>
      </c>
      <c r="B23" s="10" t="s">
        <v>186</v>
      </c>
      <c r="C23" s="10" t="s">
        <v>186</v>
      </c>
      <c r="D23" s="10" t="s">
        <v>186</v>
      </c>
      <c r="E23" s="5" t="s">
        <v>58</v>
      </c>
      <c r="F23" s="10" t="s">
        <v>186</v>
      </c>
      <c r="G23" s="10" t="s">
        <v>186</v>
      </c>
      <c r="H23" s="10" t="s">
        <v>186</v>
      </c>
      <c r="I23" s="10" t="s">
        <v>186</v>
      </c>
      <c r="J23" s="5" t="s">
        <v>101</v>
      </c>
      <c r="K23" s="10" t="s">
        <v>186</v>
      </c>
    </row>
    <row r="24" spans="1:11" x14ac:dyDescent="0.2">
      <c r="A24" s="11">
        <v>500</v>
      </c>
      <c r="B24" s="10" t="s">
        <v>186</v>
      </c>
      <c r="C24" s="10" t="s">
        <v>186</v>
      </c>
      <c r="D24" s="10" t="s">
        <v>186</v>
      </c>
      <c r="E24" s="5" t="s">
        <v>59</v>
      </c>
      <c r="F24" s="10" t="s">
        <v>186</v>
      </c>
      <c r="G24" s="10" t="s">
        <v>186</v>
      </c>
      <c r="H24" s="10" t="s">
        <v>186</v>
      </c>
      <c r="I24" s="10" t="s">
        <v>186</v>
      </c>
      <c r="J24" s="5" t="s">
        <v>102</v>
      </c>
      <c r="K24" s="10" t="s">
        <v>186</v>
      </c>
    </row>
    <row r="25" spans="1:11" x14ac:dyDescent="0.2">
      <c r="A25" s="11">
        <v>630</v>
      </c>
      <c r="B25" s="10" t="s">
        <v>186</v>
      </c>
      <c r="C25" s="10" t="s">
        <v>186</v>
      </c>
      <c r="D25" s="10" t="s">
        <v>186</v>
      </c>
      <c r="E25" s="5" t="s">
        <v>60</v>
      </c>
      <c r="F25" s="10" t="s">
        <v>186</v>
      </c>
      <c r="G25" s="10" t="s">
        <v>186</v>
      </c>
      <c r="H25" s="10" t="s">
        <v>186</v>
      </c>
      <c r="I25" s="10" t="s">
        <v>186</v>
      </c>
      <c r="J25" s="5" t="s">
        <v>103</v>
      </c>
      <c r="K25" s="10" t="s">
        <v>186</v>
      </c>
    </row>
    <row r="26" spans="1:11" x14ac:dyDescent="0.2">
      <c r="A26" s="11">
        <v>800</v>
      </c>
      <c r="B26" s="10" t="s">
        <v>186</v>
      </c>
      <c r="C26" s="10" t="s">
        <v>186</v>
      </c>
      <c r="D26" s="10" t="s">
        <v>186</v>
      </c>
      <c r="E26" s="10" t="s">
        <v>186</v>
      </c>
      <c r="F26" s="5" t="s">
        <v>61</v>
      </c>
      <c r="G26" s="10" t="s">
        <v>186</v>
      </c>
      <c r="H26" s="10" t="s">
        <v>186</v>
      </c>
      <c r="I26" s="10" t="s">
        <v>186</v>
      </c>
      <c r="J26" s="10" t="s">
        <v>186</v>
      </c>
      <c r="K26" s="5" t="s">
        <v>104</v>
      </c>
    </row>
    <row r="27" spans="1:11" x14ac:dyDescent="0.2">
      <c r="A27" s="11">
        <v>1000</v>
      </c>
      <c r="B27" s="10" t="s">
        <v>186</v>
      </c>
      <c r="C27" s="10" t="s">
        <v>186</v>
      </c>
      <c r="D27" s="10" t="s">
        <v>186</v>
      </c>
      <c r="E27" s="10" t="s">
        <v>186</v>
      </c>
      <c r="F27" s="5" t="s">
        <v>63</v>
      </c>
      <c r="G27" s="10" t="s">
        <v>186</v>
      </c>
      <c r="H27" s="10" t="s">
        <v>186</v>
      </c>
      <c r="I27" s="10" t="s">
        <v>186</v>
      </c>
      <c r="J27" s="10" t="s">
        <v>186</v>
      </c>
      <c r="K27" s="5" t="s">
        <v>105</v>
      </c>
    </row>
    <row r="28" spans="1:11" x14ac:dyDescent="0.2">
      <c r="A28" s="11">
        <v>1250</v>
      </c>
      <c r="B28" s="10" t="s">
        <v>186</v>
      </c>
      <c r="C28" s="10" t="s">
        <v>186</v>
      </c>
      <c r="D28" s="10" t="s">
        <v>186</v>
      </c>
      <c r="E28" s="10" t="s">
        <v>186</v>
      </c>
      <c r="F28" s="5" t="s">
        <v>64</v>
      </c>
      <c r="G28" s="10" t="s">
        <v>186</v>
      </c>
      <c r="H28" s="10" t="s">
        <v>186</v>
      </c>
      <c r="I28" s="10" t="s">
        <v>186</v>
      </c>
      <c r="J28" s="10" t="s">
        <v>186</v>
      </c>
      <c r="K28" s="5" t="s">
        <v>106</v>
      </c>
    </row>
    <row r="29" spans="1:11" x14ac:dyDescent="0.2">
      <c r="A29" s="11">
        <v>1500</v>
      </c>
      <c r="B29" s="10" t="s">
        <v>186</v>
      </c>
      <c r="C29" s="10" t="s">
        <v>186</v>
      </c>
      <c r="D29" s="10" t="s">
        <v>186</v>
      </c>
      <c r="E29" s="10" t="s">
        <v>186</v>
      </c>
      <c r="F29" s="5" t="s">
        <v>65</v>
      </c>
      <c r="G29" s="10" t="s">
        <v>186</v>
      </c>
      <c r="H29" s="10" t="s">
        <v>186</v>
      </c>
      <c r="I29" s="10" t="s">
        <v>186</v>
      </c>
      <c r="J29" s="10" t="s">
        <v>186</v>
      </c>
      <c r="K29" s="5" t="s">
        <v>107</v>
      </c>
    </row>
  </sheetData>
  <mergeCells count="2">
    <mergeCell ref="B1:F1"/>
    <mergeCell ref="G1:K1"/>
  </mergeCells>
  <phoneticPr fontId="0" type="noConversion"/>
  <pageMargins left="0.78740157499999996" right="0.78740157499999996" top="0.984251969" bottom="0.984251969" header="0.5" footer="0.5"/>
  <pageSetup orientation="portrait" horizontalDpi="300" verticalDpi="30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29"/>
  <sheetViews>
    <sheetView workbookViewId="0">
      <selection activeCell="B26" sqref="B26:K26"/>
    </sheetView>
  </sheetViews>
  <sheetFormatPr baseColWidth="10" defaultColWidth="9.140625" defaultRowHeight="12.75" x14ac:dyDescent="0.2"/>
  <cols>
    <col min="1" max="1" width="19" style="12" bestFit="1" customWidth="1"/>
    <col min="2" max="2" width="9.28515625" style="9" bestFit="1" customWidth="1"/>
    <col min="3" max="6" width="9.28515625" style="9" customWidth="1"/>
    <col min="7" max="8" width="9.28515625" style="9" bestFit="1" customWidth="1"/>
    <col min="9" max="16384" width="9.140625" style="9"/>
  </cols>
  <sheetData>
    <row r="1" spans="1:11" x14ac:dyDescent="0.2">
      <c r="B1" s="186" t="s">
        <v>21</v>
      </c>
      <c r="C1" s="186"/>
      <c r="D1" s="186"/>
      <c r="E1" s="186"/>
      <c r="F1" s="186"/>
      <c r="G1" s="186" t="s">
        <v>67</v>
      </c>
      <c r="H1" s="186"/>
      <c r="I1" s="186"/>
      <c r="J1" s="186"/>
      <c r="K1" s="186"/>
    </row>
    <row r="2" spans="1:11" x14ac:dyDescent="0.2">
      <c r="A2" s="12" t="s">
        <v>18</v>
      </c>
      <c r="B2" s="8" t="s">
        <v>20</v>
      </c>
      <c r="C2" s="8" t="s">
        <v>36</v>
      </c>
      <c r="D2" s="8" t="s">
        <v>45</v>
      </c>
      <c r="E2" s="8" t="s">
        <v>54</v>
      </c>
      <c r="F2" s="10" t="s">
        <v>62</v>
      </c>
      <c r="G2" s="8" t="s">
        <v>20</v>
      </c>
      <c r="H2" s="8" t="s">
        <v>36</v>
      </c>
      <c r="I2" s="8" t="s">
        <v>45</v>
      </c>
      <c r="J2" s="8" t="s">
        <v>54</v>
      </c>
      <c r="K2" s="10" t="s">
        <v>62</v>
      </c>
    </row>
    <row r="3" spans="1:11" x14ac:dyDescent="0.2">
      <c r="A3" s="13">
        <v>6</v>
      </c>
      <c r="B3" s="10" t="s">
        <v>186</v>
      </c>
      <c r="C3" s="10" t="s">
        <v>186</v>
      </c>
      <c r="D3" s="10" t="s">
        <v>186</v>
      </c>
      <c r="E3" s="10" t="s">
        <v>186</v>
      </c>
      <c r="F3" s="10" t="s">
        <v>186</v>
      </c>
      <c r="G3" s="10" t="s">
        <v>186</v>
      </c>
      <c r="H3" s="10" t="s">
        <v>186</v>
      </c>
      <c r="I3" s="10" t="s">
        <v>186</v>
      </c>
      <c r="J3" s="10" t="s">
        <v>186</v>
      </c>
      <c r="K3" s="10" t="s">
        <v>186</v>
      </c>
    </row>
    <row r="4" spans="1:11" x14ac:dyDescent="0.2">
      <c r="A4" s="13">
        <v>10</v>
      </c>
      <c r="B4" s="10" t="s">
        <v>186</v>
      </c>
      <c r="C4" s="10" t="s">
        <v>186</v>
      </c>
      <c r="D4" s="10" t="s">
        <v>186</v>
      </c>
      <c r="E4" s="10" t="s">
        <v>186</v>
      </c>
      <c r="F4" s="10" t="s">
        <v>186</v>
      </c>
      <c r="G4" s="10" t="s">
        <v>186</v>
      </c>
      <c r="H4" s="10" t="s">
        <v>186</v>
      </c>
      <c r="I4" s="10" t="s">
        <v>186</v>
      </c>
      <c r="J4" s="10" t="s">
        <v>186</v>
      </c>
      <c r="K4" s="10" t="s">
        <v>186</v>
      </c>
    </row>
    <row r="5" spans="1:11" x14ac:dyDescent="0.2">
      <c r="A5" s="12">
        <v>16</v>
      </c>
      <c r="B5" s="8" t="s">
        <v>108</v>
      </c>
      <c r="C5" s="10" t="s">
        <v>186</v>
      </c>
      <c r="D5" s="10" t="s">
        <v>186</v>
      </c>
      <c r="E5" s="10" t="s">
        <v>186</v>
      </c>
      <c r="F5" s="10" t="s">
        <v>186</v>
      </c>
      <c r="G5" s="8" t="s">
        <v>146</v>
      </c>
      <c r="H5" s="10" t="s">
        <v>186</v>
      </c>
      <c r="I5" s="10" t="s">
        <v>186</v>
      </c>
      <c r="J5" s="10" t="s">
        <v>186</v>
      </c>
      <c r="K5" s="10" t="s">
        <v>186</v>
      </c>
    </row>
    <row r="6" spans="1:11" x14ac:dyDescent="0.2">
      <c r="A6" s="12">
        <v>20</v>
      </c>
      <c r="B6" s="8" t="s">
        <v>109</v>
      </c>
      <c r="C6" s="10" t="s">
        <v>186</v>
      </c>
      <c r="D6" s="10" t="s">
        <v>186</v>
      </c>
      <c r="E6" s="10" t="s">
        <v>186</v>
      </c>
      <c r="F6" s="10" t="s">
        <v>186</v>
      </c>
      <c r="G6" s="8" t="s">
        <v>147</v>
      </c>
      <c r="H6" s="10" t="s">
        <v>186</v>
      </c>
      <c r="I6" s="10" t="s">
        <v>186</v>
      </c>
      <c r="J6" s="10" t="s">
        <v>186</v>
      </c>
      <c r="K6" s="10" t="s">
        <v>186</v>
      </c>
    </row>
    <row r="7" spans="1:11" x14ac:dyDescent="0.2">
      <c r="A7" s="12">
        <v>25</v>
      </c>
      <c r="B7" s="8" t="s">
        <v>110</v>
      </c>
      <c r="C7" s="10" t="s">
        <v>186</v>
      </c>
      <c r="D7" s="10" t="s">
        <v>186</v>
      </c>
      <c r="E7" s="10" t="s">
        <v>186</v>
      </c>
      <c r="F7" s="10" t="s">
        <v>186</v>
      </c>
      <c r="G7" s="8" t="s">
        <v>148</v>
      </c>
      <c r="H7" s="10" t="s">
        <v>186</v>
      </c>
      <c r="I7" s="10" t="s">
        <v>186</v>
      </c>
      <c r="J7" s="10" t="s">
        <v>186</v>
      </c>
      <c r="K7" s="10" t="s">
        <v>186</v>
      </c>
    </row>
    <row r="8" spans="1:11" x14ac:dyDescent="0.2">
      <c r="A8" s="12">
        <v>32</v>
      </c>
      <c r="B8" s="8" t="s">
        <v>111</v>
      </c>
      <c r="C8" s="10" t="s">
        <v>186</v>
      </c>
      <c r="D8" s="10" t="s">
        <v>186</v>
      </c>
      <c r="E8" s="10" t="s">
        <v>186</v>
      </c>
      <c r="F8" s="10" t="s">
        <v>186</v>
      </c>
      <c r="G8" s="8" t="s">
        <v>149</v>
      </c>
      <c r="H8" s="10" t="s">
        <v>186</v>
      </c>
      <c r="I8" s="10" t="s">
        <v>186</v>
      </c>
      <c r="J8" s="10" t="s">
        <v>186</v>
      </c>
      <c r="K8" s="10" t="s">
        <v>186</v>
      </c>
    </row>
    <row r="9" spans="1:11" x14ac:dyDescent="0.2">
      <c r="A9" s="12">
        <v>35</v>
      </c>
      <c r="B9" s="8" t="s">
        <v>112</v>
      </c>
      <c r="C9" s="8" t="s">
        <v>120</v>
      </c>
      <c r="D9" s="10" t="s">
        <v>186</v>
      </c>
      <c r="E9" s="10" t="s">
        <v>186</v>
      </c>
      <c r="F9" s="10" t="s">
        <v>186</v>
      </c>
      <c r="G9" s="8" t="s">
        <v>150</v>
      </c>
      <c r="H9" s="8" t="s">
        <v>158</v>
      </c>
      <c r="I9" s="10" t="s">
        <v>186</v>
      </c>
      <c r="J9" s="10" t="s">
        <v>186</v>
      </c>
      <c r="K9" s="10" t="s">
        <v>186</v>
      </c>
    </row>
    <row r="10" spans="1:11" x14ac:dyDescent="0.2">
      <c r="A10" s="12">
        <v>40</v>
      </c>
      <c r="B10" s="8" t="s">
        <v>113</v>
      </c>
      <c r="C10" s="8" t="s">
        <v>121</v>
      </c>
      <c r="D10" s="10" t="s">
        <v>186</v>
      </c>
      <c r="E10" s="10" t="s">
        <v>186</v>
      </c>
      <c r="F10" s="10" t="s">
        <v>186</v>
      </c>
      <c r="G10" s="8" t="s">
        <v>151</v>
      </c>
      <c r="H10" s="8" t="s">
        <v>159</v>
      </c>
      <c r="I10" s="10" t="s">
        <v>186</v>
      </c>
      <c r="J10" s="10" t="s">
        <v>186</v>
      </c>
      <c r="K10" s="10" t="s">
        <v>186</v>
      </c>
    </row>
    <row r="11" spans="1:11" x14ac:dyDescent="0.2">
      <c r="A11" s="12">
        <v>50</v>
      </c>
      <c r="B11" s="8" t="s">
        <v>114</v>
      </c>
      <c r="C11" s="8" t="s">
        <v>122</v>
      </c>
      <c r="D11" s="10" t="s">
        <v>186</v>
      </c>
      <c r="E11" s="10" t="s">
        <v>186</v>
      </c>
      <c r="F11" s="10" t="s">
        <v>186</v>
      </c>
      <c r="G11" s="8" t="s">
        <v>152</v>
      </c>
      <c r="H11" s="8" t="s">
        <v>160</v>
      </c>
      <c r="I11" s="10" t="s">
        <v>186</v>
      </c>
      <c r="J11" s="10" t="s">
        <v>186</v>
      </c>
      <c r="K11" s="10" t="s">
        <v>186</v>
      </c>
    </row>
    <row r="12" spans="1:11" x14ac:dyDescent="0.2">
      <c r="A12" s="12">
        <v>63</v>
      </c>
      <c r="B12" s="8" t="s">
        <v>115</v>
      </c>
      <c r="C12" s="8" t="s">
        <v>123</v>
      </c>
      <c r="D12" s="10" t="s">
        <v>186</v>
      </c>
      <c r="E12" s="10" t="s">
        <v>186</v>
      </c>
      <c r="F12" s="10" t="s">
        <v>186</v>
      </c>
      <c r="G12" s="8" t="s">
        <v>153</v>
      </c>
      <c r="H12" s="8" t="s">
        <v>161</v>
      </c>
      <c r="I12" s="10" t="s">
        <v>186</v>
      </c>
      <c r="J12" s="10" t="s">
        <v>186</v>
      </c>
      <c r="K12" s="10" t="s">
        <v>186</v>
      </c>
    </row>
    <row r="13" spans="1:11" x14ac:dyDescent="0.2">
      <c r="A13" s="12">
        <v>80</v>
      </c>
      <c r="B13" s="8" t="s">
        <v>116</v>
      </c>
      <c r="C13" s="8" t="s">
        <v>124</v>
      </c>
      <c r="D13" s="10" t="s">
        <v>186</v>
      </c>
      <c r="E13" s="10" t="s">
        <v>186</v>
      </c>
      <c r="F13" s="10" t="s">
        <v>186</v>
      </c>
      <c r="G13" s="8" t="s">
        <v>154</v>
      </c>
      <c r="H13" s="8" t="s">
        <v>162</v>
      </c>
      <c r="I13" s="10" t="s">
        <v>186</v>
      </c>
      <c r="J13" s="10" t="s">
        <v>186</v>
      </c>
      <c r="K13" s="10" t="s">
        <v>186</v>
      </c>
    </row>
    <row r="14" spans="1:11" x14ac:dyDescent="0.2">
      <c r="A14" s="12">
        <v>100</v>
      </c>
      <c r="B14" s="8" t="s">
        <v>117</v>
      </c>
      <c r="C14" s="8" t="s">
        <v>125</v>
      </c>
      <c r="D14" s="10" t="s">
        <v>186</v>
      </c>
      <c r="E14" s="10" t="s">
        <v>186</v>
      </c>
      <c r="F14" s="10" t="s">
        <v>186</v>
      </c>
      <c r="G14" s="8" t="s">
        <v>155</v>
      </c>
      <c r="H14" s="8" t="s">
        <v>163</v>
      </c>
      <c r="I14" s="10" t="s">
        <v>186</v>
      </c>
      <c r="J14" s="10" t="s">
        <v>186</v>
      </c>
      <c r="K14" s="10" t="s">
        <v>186</v>
      </c>
    </row>
    <row r="15" spans="1:11" x14ac:dyDescent="0.2">
      <c r="A15" s="12">
        <v>125</v>
      </c>
      <c r="B15" s="8" t="s">
        <v>118</v>
      </c>
      <c r="C15" s="8" t="s">
        <v>126</v>
      </c>
      <c r="D15" s="8" t="s">
        <v>131</v>
      </c>
      <c r="E15" s="10" t="s">
        <v>186</v>
      </c>
      <c r="F15" s="10" t="s">
        <v>186</v>
      </c>
      <c r="G15" s="8" t="s">
        <v>156</v>
      </c>
      <c r="H15" s="8" t="s">
        <v>164</v>
      </c>
      <c r="I15" s="8" t="s">
        <v>169</v>
      </c>
      <c r="J15" s="10" t="s">
        <v>186</v>
      </c>
      <c r="K15" s="10" t="s">
        <v>186</v>
      </c>
    </row>
    <row r="16" spans="1:11" x14ac:dyDescent="0.2">
      <c r="A16" s="12">
        <v>160</v>
      </c>
      <c r="B16" s="8" t="s">
        <v>119</v>
      </c>
      <c r="C16" s="8" t="s">
        <v>127</v>
      </c>
      <c r="D16" s="8" t="s">
        <v>132</v>
      </c>
      <c r="E16" s="10" t="s">
        <v>186</v>
      </c>
      <c r="F16" s="10" t="s">
        <v>186</v>
      </c>
      <c r="G16" s="8" t="s">
        <v>157</v>
      </c>
      <c r="H16" s="8" t="s">
        <v>165</v>
      </c>
      <c r="I16" s="8" t="s">
        <v>170</v>
      </c>
      <c r="J16" s="10" t="s">
        <v>186</v>
      </c>
      <c r="K16" s="10" t="s">
        <v>186</v>
      </c>
    </row>
    <row r="17" spans="1:11" x14ac:dyDescent="0.2">
      <c r="A17" s="12">
        <v>200</v>
      </c>
      <c r="B17" s="10" t="s">
        <v>186</v>
      </c>
      <c r="C17" s="8" t="s">
        <v>128</v>
      </c>
      <c r="D17" s="8" t="s">
        <v>133</v>
      </c>
      <c r="E17" s="10" t="s">
        <v>186</v>
      </c>
      <c r="F17" s="10" t="s">
        <v>186</v>
      </c>
      <c r="G17" s="10" t="s">
        <v>186</v>
      </c>
      <c r="H17" s="8" t="s">
        <v>166</v>
      </c>
      <c r="I17" s="8" t="s">
        <v>171</v>
      </c>
      <c r="J17" s="10" t="s">
        <v>186</v>
      </c>
      <c r="K17" s="10" t="s">
        <v>186</v>
      </c>
    </row>
    <row r="18" spans="1:11" x14ac:dyDescent="0.2">
      <c r="A18" s="12">
        <v>224</v>
      </c>
      <c r="B18" s="10" t="s">
        <v>186</v>
      </c>
      <c r="C18" s="8" t="s">
        <v>129</v>
      </c>
      <c r="D18" s="8" t="s">
        <v>134</v>
      </c>
      <c r="E18" s="10" t="s">
        <v>186</v>
      </c>
      <c r="F18" s="10" t="s">
        <v>186</v>
      </c>
      <c r="G18" s="10" t="s">
        <v>186</v>
      </c>
      <c r="H18" s="8" t="s">
        <v>167</v>
      </c>
      <c r="I18" s="8" t="s">
        <v>172</v>
      </c>
      <c r="J18" s="10" t="s">
        <v>186</v>
      </c>
      <c r="K18" s="10" t="s">
        <v>186</v>
      </c>
    </row>
    <row r="19" spans="1:11" x14ac:dyDescent="0.2">
      <c r="A19" s="12">
        <v>250</v>
      </c>
      <c r="B19" s="10" t="s">
        <v>186</v>
      </c>
      <c r="C19" s="8" t="s">
        <v>130</v>
      </c>
      <c r="D19" s="8" t="s">
        <v>135</v>
      </c>
      <c r="E19" s="8" t="s">
        <v>139</v>
      </c>
      <c r="F19" s="10" t="s">
        <v>186</v>
      </c>
      <c r="G19" s="10" t="s">
        <v>186</v>
      </c>
      <c r="H19" s="8" t="s">
        <v>168</v>
      </c>
      <c r="I19" s="8" t="s">
        <v>173</v>
      </c>
      <c r="J19" s="8" t="s">
        <v>177</v>
      </c>
      <c r="K19" s="10" t="s">
        <v>186</v>
      </c>
    </row>
    <row r="20" spans="1:11" x14ac:dyDescent="0.2">
      <c r="A20" s="12">
        <v>315</v>
      </c>
      <c r="B20" s="10" t="s">
        <v>186</v>
      </c>
      <c r="C20" s="10" t="s">
        <v>186</v>
      </c>
      <c r="D20" s="8" t="s">
        <v>136</v>
      </c>
      <c r="E20" s="8" t="s">
        <v>140</v>
      </c>
      <c r="F20" s="10" t="s">
        <v>186</v>
      </c>
      <c r="G20" s="10" t="s">
        <v>186</v>
      </c>
      <c r="H20" s="10" t="s">
        <v>186</v>
      </c>
      <c r="I20" s="8" t="s">
        <v>174</v>
      </c>
      <c r="J20" s="8" t="s">
        <v>178</v>
      </c>
      <c r="K20" s="10" t="s">
        <v>186</v>
      </c>
    </row>
    <row r="21" spans="1:11" x14ac:dyDescent="0.2">
      <c r="A21" s="12">
        <v>350</v>
      </c>
      <c r="B21" s="10" t="s">
        <v>186</v>
      </c>
      <c r="C21" s="10" t="s">
        <v>186</v>
      </c>
      <c r="D21" s="8" t="s">
        <v>137</v>
      </c>
      <c r="E21" s="8" t="s">
        <v>141</v>
      </c>
      <c r="F21" s="10" t="s">
        <v>186</v>
      </c>
      <c r="G21" s="10" t="s">
        <v>186</v>
      </c>
      <c r="H21" s="10" t="s">
        <v>186</v>
      </c>
      <c r="I21" s="8" t="s">
        <v>175</v>
      </c>
      <c r="J21" s="8" t="s">
        <v>179</v>
      </c>
      <c r="K21" s="10" t="s">
        <v>186</v>
      </c>
    </row>
    <row r="22" spans="1:11" x14ac:dyDescent="0.2">
      <c r="A22" s="12">
        <v>400</v>
      </c>
      <c r="B22" s="10" t="s">
        <v>186</v>
      </c>
      <c r="C22" s="10" t="s">
        <v>186</v>
      </c>
      <c r="D22" s="8" t="s">
        <v>138</v>
      </c>
      <c r="E22" s="8" t="s">
        <v>142</v>
      </c>
      <c r="F22" s="10" t="s">
        <v>186</v>
      </c>
      <c r="G22" s="10" t="s">
        <v>186</v>
      </c>
      <c r="H22" s="10" t="s">
        <v>186</v>
      </c>
      <c r="I22" s="8" t="s">
        <v>176</v>
      </c>
      <c r="J22" s="8" t="s">
        <v>180</v>
      </c>
      <c r="K22" s="10" t="s">
        <v>186</v>
      </c>
    </row>
    <row r="23" spans="1:11" x14ac:dyDescent="0.2">
      <c r="A23" s="12">
        <v>425</v>
      </c>
      <c r="B23" s="10" t="s">
        <v>186</v>
      </c>
      <c r="C23" s="10" t="s">
        <v>186</v>
      </c>
      <c r="D23" s="10" t="s">
        <v>186</v>
      </c>
      <c r="E23" s="8" t="s">
        <v>143</v>
      </c>
      <c r="F23" s="10" t="s">
        <v>186</v>
      </c>
      <c r="G23" s="10" t="s">
        <v>186</v>
      </c>
      <c r="H23" s="10" t="s">
        <v>186</v>
      </c>
      <c r="I23" s="10" t="s">
        <v>186</v>
      </c>
      <c r="J23" s="8" t="s">
        <v>181</v>
      </c>
      <c r="K23" s="10" t="s">
        <v>186</v>
      </c>
    </row>
    <row r="24" spans="1:11" x14ac:dyDescent="0.2">
      <c r="A24" s="12">
        <v>500</v>
      </c>
      <c r="B24" s="10" t="s">
        <v>186</v>
      </c>
      <c r="C24" s="10" t="s">
        <v>186</v>
      </c>
      <c r="D24" s="10" t="s">
        <v>186</v>
      </c>
      <c r="E24" s="8" t="s">
        <v>144</v>
      </c>
      <c r="F24" s="10" t="s">
        <v>186</v>
      </c>
      <c r="G24" s="10" t="s">
        <v>186</v>
      </c>
      <c r="H24" s="10" t="s">
        <v>186</v>
      </c>
      <c r="I24" s="10" t="s">
        <v>186</v>
      </c>
      <c r="J24" s="8" t="s">
        <v>182</v>
      </c>
      <c r="K24" s="10" t="s">
        <v>186</v>
      </c>
    </row>
    <row r="25" spans="1:11" x14ac:dyDescent="0.2">
      <c r="A25" s="12">
        <v>630</v>
      </c>
      <c r="B25" s="10" t="s">
        <v>186</v>
      </c>
      <c r="C25" s="10" t="s">
        <v>186</v>
      </c>
      <c r="D25" s="10" t="s">
        <v>186</v>
      </c>
      <c r="E25" s="8" t="s">
        <v>145</v>
      </c>
      <c r="F25" s="10" t="s">
        <v>186</v>
      </c>
      <c r="G25" s="10" t="s">
        <v>186</v>
      </c>
      <c r="H25" s="10" t="s">
        <v>186</v>
      </c>
      <c r="I25" s="10" t="s">
        <v>186</v>
      </c>
      <c r="J25" s="8" t="s">
        <v>183</v>
      </c>
      <c r="K25" s="10" t="s">
        <v>186</v>
      </c>
    </row>
    <row r="26" spans="1:11" x14ac:dyDescent="0.2">
      <c r="A26" s="11">
        <v>800</v>
      </c>
      <c r="B26" s="10" t="s">
        <v>186</v>
      </c>
      <c r="C26" s="10" t="s">
        <v>186</v>
      </c>
      <c r="D26" s="10" t="s">
        <v>186</v>
      </c>
      <c r="E26" s="10" t="s">
        <v>186</v>
      </c>
      <c r="F26" s="10" t="s">
        <v>186</v>
      </c>
      <c r="G26" s="10" t="s">
        <v>186</v>
      </c>
      <c r="H26" s="10" t="s">
        <v>186</v>
      </c>
      <c r="I26" s="10" t="s">
        <v>186</v>
      </c>
      <c r="J26" s="10" t="s">
        <v>186</v>
      </c>
      <c r="K26" s="10" t="s">
        <v>186</v>
      </c>
    </row>
    <row r="27" spans="1:11" x14ac:dyDescent="0.2">
      <c r="A27" s="11">
        <v>1000</v>
      </c>
      <c r="B27" s="10" t="s">
        <v>186</v>
      </c>
      <c r="C27" s="10" t="s">
        <v>186</v>
      </c>
      <c r="D27" s="10" t="s">
        <v>186</v>
      </c>
      <c r="E27" s="10" t="s">
        <v>186</v>
      </c>
      <c r="F27" s="10" t="s">
        <v>186</v>
      </c>
      <c r="G27" s="10" t="s">
        <v>186</v>
      </c>
      <c r="H27" s="10" t="s">
        <v>186</v>
      </c>
      <c r="I27" s="10" t="s">
        <v>186</v>
      </c>
      <c r="J27" s="10" t="s">
        <v>186</v>
      </c>
      <c r="K27" s="10" t="s">
        <v>186</v>
      </c>
    </row>
    <row r="28" spans="1:11" x14ac:dyDescent="0.2">
      <c r="A28" s="11">
        <v>1250</v>
      </c>
      <c r="B28" s="10" t="s">
        <v>186</v>
      </c>
      <c r="C28" s="10" t="s">
        <v>186</v>
      </c>
      <c r="D28" s="10" t="s">
        <v>186</v>
      </c>
      <c r="E28" s="10" t="s">
        <v>186</v>
      </c>
      <c r="F28" s="10" t="s">
        <v>186</v>
      </c>
      <c r="G28" s="10" t="s">
        <v>186</v>
      </c>
      <c r="H28" s="10" t="s">
        <v>186</v>
      </c>
      <c r="I28" s="10" t="s">
        <v>186</v>
      </c>
      <c r="J28" s="10" t="s">
        <v>186</v>
      </c>
      <c r="K28" s="10" t="s">
        <v>186</v>
      </c>
    </row>
    <row r="29" spans="1:11" x14ac:dyDescent="0.2">
      <c r="A29" s="11">
        <v>1500</v>
      </c>
      <c r="B29" s="10" t="s">
        <v>186</v>
      </c>
      <c r="C29" s="10" t="s">
        <v>186</v>
      </c>
      <c r="D29" s="10" t="s">
        <v>186</v>
      </c>
      <c r="E29" s="10" t="s">
        <v>186</v>
      </c>
      <c r="F29" s="10" t="s">
        <v>186</v>
      </c>
      <c r="G29" s="10" t="s">
        <v>186</v>
      </c>
      <c r="H29" s="10" t="s">
        <v>186</v>
      </c>
      <c r="I29" s="10" t="s">
        <v>186</v>
      </c>
      <c r="J29" s="10" t="s">
        <v>186</v>
      </c>
      <c r="K29" s="10" t="s">
        <v>186</v>
      </c>
    </row>
  </sheetData>
  <mergeCells count="2">
    <mergeCell ref="B1:F1"/>
    <mergeCell ref="G1:K1"/>
  </mergeCells>
  <phoneticPr fontId="3" type="noConversion"/>
  <pageMargins left="0.78740157499999996" right="0.78740157499999996" top="0.984251969" bottom="0.984251969" header="0.5" footer="0.5"/>
  <pageSetup orientation="portrait" horizontalDpi="300" verticalDpi="30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29"/>
  <sheetViews>
    <sheetView topLeftCell="A7" workbookViewId="0">
      <selection activeCell="J24" sqref="J24"/>
    </sheetView>
  </sheetViews>
  <sheetFormatPr baseColWidth="10" defaultColWidth="9.140625" defaultRowHeight="12.75" x14ac:dyDescent="0.2"/>
  <cols>
    <col min="1" max="1" width="19" style="12" bestFit="1" customWidth="1"/>
    <col min="2" max="2" width="9.28515625" style="9" bestFit="1" customWidth="1"/>
    <col min="3" max="6" width="9.28515625" style="9" customWidth="1"/>
    <col min="7" max="8" width="9.28515625" style="9" bestFit="1" customWidth="1"/>
    <col min="9" max="16384" width="9.140625" style="9"/>
  </cols>
  <sheetData>
    <row r="1" spans="1:11" x14ac:dyDescent="0.2">
      <c r="B1" s="186" t="s">
        <v>21</v>
      </c>
      <c r="C1" s="186"/>
      <c r="D1" s="186"/>
      <c r="E1" s="186"/>
      <c r="F1" s="186"/>
      <c r="G1" s="186" t="s">
        <v>67</v>
      </c>
      <c r="H1" s="186"/>
      <c r="I1" s="186"/>
      <c r="J1" s="186"/>
      <c r="K1" s="186"/>
    </row>
    <row r="2" spans="1:11" x14ac:dyDescent="0.2">
      <c r="A2" s="12" t="s">
        <v>18</v>
      </c>
      <c r="B2" s="8" t="s">
        <v>20</v>
      </c>
      <c r="C2" s="8" t="s">
        <v>36</v>
      </c>
      <c r="D2" s="8" t="s">
        <v>45</v>
      </c>
      <c r="E2" s="8" t="s">
        <v>54</v>
      </c>
      <c r="F2" s="10" t="s">
        <v>62</v>
      </c>
      <c r="G2" s="8" t="s">
        <v>20</v>
      </c>
      <c r="H2" s="8" t="s">
        <v>36</v>
      </c>
      <c r="I2" s="8" t="s">
        <v>45</v>
      </c>
      <c r="J2" s="8" t="s">
        <v>54</v>
      </c>
      <c r="K2" s="10" t="s">
        <v>62</v>
      </c>
    </row>
    <row r="3" spans="1:11" x14ac:dyDescent="0.2">
      <c r="A3" s="13">
        <v>6</v>
      </c>
      <c r="B3" s="10" t="s">
        <v>186</v>
      </c>
      <c r="C3" s="10" t="s">
        <v>186</v>
      </c>
      <c r="D3" s="10" t="s">
        <v>186</v>
      </c>
      <c r="E3" s="10" t="s">
        <v>186</v>
      </c>
      <c r="F3" s="10" t="s">
        <v>186</v>
      </c>
      <c r="G3" s="10" t="s">
        <v>186</v>
      </c>
      <c r="H3" s="10" t="s">
        <v>186</v>
      </c>
      <c r="I3" s="10" t="s">
        <v>186</v>
      </c>
      <c r="J3" s="10" t="s">
        <v>186</v>
      </c>
      <c r="K3" s="10" t="s">
        <v>186</v>
      </c>
    </row>
    <row r="4" spans="1:11" x14ac:dyDescent="0.2">
      <c r="A4" s="13">
        <v>10</v>
      </c>
      <c r="B4" s="10" t="s">
        <v>186</v>
      </c>
      <c r="C4" s="10" t="s">
        <v>186</v>
      </c>
      <c r="D4" s="10" t="s">
        <v>186</v>
      </c>
      <c r="E4" s="10" t="s">
        <v>186</v>
      </c>
      <c r="F4" s="10" t="s">
        <v>186</v>
      </c>
      <c r="G4" s="10" t="s">
        <v>186</v>
      </c>
      <c r="H4" s="10" t="s">
        <v>186</v>
      </c>
      <c r="I4" s="10" t="s">
        <v>186</v>
      </c>
      <c r="J4" s="10" t="s">
        <v>186</v>
      </c>
      <c r="K4" s="10" t="s">
        <v>186</v>
      </c>
    </row>
    <row r="5" spans="1:11" x14ac:dyDescent="0.2">
      <c r="A5" s="12">
        <v>16</v>
      </c>
      <c r="B5" s="10" t="s">
        <v>186</v>
      </c>
      <c r="C5" s="10" t="s">
        <v>186</v>
      </c>
      <c r="D5" s="10" t="s">
        <v>186</v>
      </c>
      <c r="E5" s="10" t="s">
        <v>186</v>
      </c>
      <c r="F5" s="10" t="s">
        <v>186</v>
      </c>
      <c r="G5" s="10" t="s">
        <v>186</v>
      </c>
      <c r="H5" s="10" t="s">
        <v>186</v>
      </c>
      <c r="I5" s="10" t="s">
        <v>186</v>
      </c>
      <c r="J5" s="10" t="s">
        <v>186</v>
      </c>
      <c r="K5" s="10" t="s">
        <v>186</v>
      </c>
    </row>
    <row r="6" spans="1:11" x14ac:dyDescent="0.2">
      <c r="A6" s="12">
        <v>20</v>
      </c>
      <c r="B6" s="10" t="s">
        <v>186</v>
      </c>
      <c r="C6" s="10" t="s">
        <v>186</v>
      </c>
      <c r="D6" s="10" t="s">
        <v>186</v>
      </c>
      <c r="E6" s="10" t="s">
        <v>186</v>
      </c>
      <c r="F6" s="10" t="s">
        <v>186</v>
      </c>
      <c r="G6" s="10" t="s">
        <v>186</v>
      </c>
      <c r="H6" s="10" t="s">
        <v>186</v>
      </c>
      <c r="I6" s="10" t="s">
        <v>186</v>
      </c>
      <c r="J6" s="10" t="s">
        <v>186</v>
      </c>
      <c r="K6" s="10" t="s">
        <v>186</v>
      </c>
    </row>
    <row r="7" spans="1:11" x14ac:dyDescent="0.2">
      <c r="A7" s="12">
        <v>25</v>
      </c>
      <c r="B7" s="10" t="s">
        <v>186</v>
      </c>
      <c r="C7" s="10" t="s">
        <v>186</v>
      </c>
      <c r="D7" s="10" t="s">
        <v>186</v>
      </c>
      <c r="E7" s="10" t="s">
        <v>186</v>
      </c>
      <c r="F7" s="10" t="s">
        <v>186</v>
      </c>
      <c r="G7" s="10" t="s">
        <v>186</v>
      </c>
      <c r="H7" s="10" t="s">
        <v>186</v>
      </c>
      <c r="I7" s="10" t="s">
        <v>186</v>
      </c>
      <c r="J7" s="10" t="s">
        <v>186</v>
      </c>
      <c r="K7" s="10" t="s">
        <v>186</v>
      </c>
    </row>
    <row r="8" spans="1:11" x14ac:dyDescent="0.2">
      <c r="A8" s="12">
        <v>32</v>
      </c>
      <c r="B8" s="10" t="s">
        <v>186</v>
      </c>
      <c r="C8" s="10" t="s">
        <v>186</v>
      </c>
      <c r="D8" s="10" t="s">
        <v>186</v>
      </c>
      <c r="E8" s="10" t="s">
        <v>186</v>
      </c>
      <c r="F8" s="10" t="s">
        <v>186</v>
      </c>
      <c r="G8" s="10" t="s">
        <v>186</v>
      </c>
      <c r="H8" s="10" t="s">
        <v>186</v>
      </c>
      <c r="I8" s="10" t="s">
        <v>186</v>
      </c>
      <c r="J8" s="10" t="s">
        <v>186</v>
      </c>
      <c r="K8" s="10" t="s">
        <v>186</v>
      </c>
    </row>
    <row r="9" spans="1:11" x14ac:dyDescent="0.2">
      <c r="A9" s="12">
        <v>35</v>
      </c>
      <c r="B9" s="10" t="s">
        <v>186</v>
      </c>
      <c r="C9" s="10" t="s">
        <v>186</v>
      </c>
      <c r="D9" s="10" t="s">
        <v>186</v>
      </c>
      <c r="E9" s="10" t="s">
        <v>186</v>
      </c>
      <c r="F9" s="10" t="s">
        <v>186</v>
      </c>
      <c r="G9" s="10" t="s">
        <v>186</v>
      </c>
      <c r="H9" s="10" t="s">
        <v>186</v>
      </c>
      <c r="I9" s="10" t="s">
        <v>186</v>
      </c>
      <c r="J9" s="10" t="s">
        <v>186</v>
      </c>
      <c r="K9" s="10" t="s">
        <v>186</v>
      </c>
    </row>
    <row r="10" spans="1:11" x14ac:dyDescent="0.2">
      <c r="A10" s="12">
        <v>40</v>
      </c>
      <c r="B10" s="10" t="s">
        <v>186</v>
      </c>
      <c r="C10" t="s">
        <v>276</v>
      </c>
      <c r="D10" s="10" t="s">
        <v>186</v>
      </c>
      <c r="E10" s="10" t="s">
        <v>186</v>
      </c>
      <c r="F10" s="10" t="s">
        <v>186</v>
      </c>
      <c r="G10" s="10" t="s">
        <v>186</v>
      </c>
      <c r="H10" t="s">
        <v>301</v>
      </c>
      <c r="I10" s="10" t="s">
        <v>186</v>
      </c>
      <c r="J10" s="10" t="s">
        <v>186</v>
      </c>
      <c r="K10" s="10" t="s">
        <v>186</v>
      </c>
    </row>
    <row r="11" spans="1:11" x14ac:dyDescent="0.2">
      <c r="A11" s="12">
        <v>50</v>
      </c>
      <c r="B11" s="10" t="s">
        <v>186</v>
      </c>
      <c r="C11" t="s">
        <v>277</v>
      </c>
      <c r="D11" s="10" t="s">
        <v>186</v>
      </c>
      <c r="E11" s="10" t="s">
        <v>186</v>
      </c>
      <c r="F11" s="10" t="s">
        <v>186</v>
      </c>
      <c r="G11" s="10" t="s">
        <v>186</v>
      </c>
      <c r="H11" t="s">
        <v>302</v>
      </c>
      <c r="I11" s="10" t="s">
        <v>186</v>
      </c>
      <c r="J11" s="10" t="s">
        <v>186</v>
      </c>
      <c r="K11" s="10" t="s">
        <v>186</v>
      </c>
    </row>
    <row r="12" spans="1:11" x14ac:dyDescent="0.2">
      <c r="A12" s="12">
        <v>63</v>
      </c>
      <c r="B12" s="10" t="s">
        <v>186</v>
      </c>
      <c r="C12" t="s">
        <v>278</v>
      </c>
      <c r="D12" s="10" t="s">
        <v>186</v>
      </c>
      <c r="E12" s="10" t="s">
        <v>186</v>
      </c>
      <c r="F12" s="10" t="s">
        <v>186</v>
      </c>
      <c r="G12" s="10" t="s">
        <v>186</v>
      </c>
      <c r="H12" t="s">
        <v>303</v>
      </c>
      <c r="I12" s="10" t="s">
        <v>186</v>
      </c>
      <c r="J12" s="10" t="s">
        <v>186</v>
      </c>
      <c r="K12" s="10" t="s">
        <v>186</v>
      </c>
    </row>
    <row r="13" spans="1:11" x14ac:dyDescent="0.2">
      <c r="A13" s="12">
        <v>80</v>
      </c>
      <c r="B13" s="10" t="s">
        <v>186</v>
      </c>
      <c r="C13" t="s">
        <v>279</v>
      </c>
      <c r="D13" s="10" t="s">
        <v>186</v>
      </c>
      <c r="E13" s="10" t="s">
        <v>186</v>
      </c>
      <c r="F13" s="10" t="s">
        <v>186</v>
      </c>
      <c r="G13" s="10" t="s">
        <v>186</v>
      </c>
      <c r="H13" t="s">
        <v>304</v>
      </c>
      <c r="I13" s="10" t="s">
        <v>186</v>
      </c>
      <c r="J13" s="10" t="s">
        <v>186</v>
      </c>
      <c r="K13" s="10" t="s">
        <v>186</v>
      </c>
    </row>
    <row r="14" spans="1:11" x14ac:dyDescent="0.2">
      <c r="A14" s="12">
        <v>100</v>
      </c>
      <c r="B14" s="10" t="s">
        <v>186</v>
      </c>
      <c r="C14" t="s">
        <v>280</v>
      </c>
      <c r="D14" s="10" t="s">
        <v>186</v>
      </c>
      <c r="E14" s="10" t="s">
        <v>186</v>
      </c>
      <c r="F14" s="10" t="s">
        <v>186</v>
      </c>
      <c r="G14" s="10" t="s">
        <v>186</v>
      </c>
      <c r="H14" t="s">
        <v>305</v>
      </c>
      <c r="I14" s="10" t="s">
        <v>186</v>
      </c>
      <c r="J14" s="10" t="s">
        <v>186</v>
      </c>
      <c r="K14" s="10" t="s">
        <v>186</v>
      </c>
    </row>
    <row r="15" spans="1:11" x14ac:dyDescent="0.2">
      <c r="A15" s="12">
        <v>125</v>
      </c>
      <c r="B15" s="10" t="s">
        <v>186</v>
      </c>
      <c r="C15" t="s">
        <v>281</v>
      </c>
      <c r="D15" t="s">
        <v>286</v>
      </c>
      <c r="E15" s="10" t="s">
        <v>186</v>
      </c>
      <c r="F15" s="10" t="s">
        <v>186</v>
      </c>
      <c r="G15" s="10" t="s">
        <v>186</v>
      </c>
      <c r="H15" t="s">
        <v>306</v>
      </c>
      <c r="I15" t="s">
        <v>311</v>
      </c>
      <c r="J15" s="10" t="s">
        <v>186</v>
      </c>
      <c r="K15" s="10" t="s">
        <v>186</v>
      </c>
    </row>
    <row r="16" spans="1:11" x14ac:dyDescent="0.2">
      <c r="A16" s="12">
        <v>160</v>
      </c>
      <c r="B16" s="10" t="s">
        <v>186</v>
      </c>
      <c r="C16" t="s">
        <v>282</v>
      </c>
      <c r="D16" t="s">
        <v>287</v>
      </c>
      <c r="E16" s="10" t="s">
        <v>186</v>
      </c>
      <c r="F16" s="10" t="s">
        <v>186</v>
      </c>
      <c r="G16" s="10" t="s">
        <v>186</v>
      </c>
      <c r="H16" t="s">
        <v>307</v>
      </c>
      <c r="I16" t="s">
        <v>312</v>
      </c>
      <c r="J16" s="10" t="s">
        <v>186</v>
      </c>
      <c r="K16" s="10" t="s">
        <v>186</v>
      </c>
    </row>
    <row r="17" spans="1:11" x14ac:dyDescent="0.2">
      <c r="A17" s="12">
        <v>200</v>
      </c>
      <c r="B17" s="10" t="s">
        <v>186</v>
      </c>
      <c r="C17" t="s">
        <v>283</v>
      </c>
      <c r="D17" t="s">
        <v>288</v>
      </c>
      <c r="E17" s="10" t="s">
        <v>186</v>
      </c>
      <c r="F17" s="10" t="s">
        <v>186</v>
      </c>
      <c r="G17" s="10" t="s">
        <v>186</v>
      </c>
      <c r="H17" t="s">
        <v>308</v>
      </c>
      <c r="I17" t="s">
        <v>313</v>
      </c>
      <c r="J17" s="10" t="s">
        <v>186</v>
      </c>
      <c r="K17" s="10" t="s">
        <v>186</v>
      </c>
    </row>
    <row r="18" spans="1:11" x14ac:dyDescent="0.2">
      <c r="A18" s="12">
        <v>224</v>
      </c>
      <c r="B18" s="10" t="s">
        <v>186</v>
      </c>
      <c r="C18" t="s">
        <v>284</v>
      </c>
      <c r="D18" t="s">
        <v>289</v>
      </c>
      <c r="E18" s="10" t="s">
        <v>186</v>
      </c>
      <c r="F18" s="10" t="s">
        <v>186</v>
      </c>
      <c r="G18" s="10" t="s">
        <v>186</v>
      </c>
      <c r="H18" t="s">
        <v>309</v>
      </c>
      <c r="I18" t="s">
        <v>314</v>
      </c>
      <c r="J18" s="10" t="s">
        <v>186</v>
      </c>
      <c r="K18" s="10" t="s">
        <v>186</v>
      </c>
    </row>
    <row r="19" spans="1:11" x14ac:dyDescent="0.2">
      <c r="A19" s="12">
        <v>250</v>
      </c>
      <c r="B19" s="10" t="s">
        <v>186</v>
      </c>
      <c r="C19" t="s">
        <v>285</v>
      </c>
      <c r="D19" t="s">
        <v>290</v>
      </c>
      <c r="E19" t="s">
        <v>294</v>
      </c>
      <c r="F19" s="10" t="s">
        <v>186</v>
      </c>
      <c r="G19" s="10" t="s">
        <v>186</v>
      </c>
      <c r="H19" t="s">
        <v>310</v>
      </c>
      <c r="I19" t="s">
        <v>315</v>
      </c>
      <c r="J19" t="s">
        <v>319</v>
      </c>
      <c r="K19" s="10" t="s">
        <v>186</v>
      </c>
    </row>
    <row r="20" spans="1:11" x14ac:dyDescent="0.2">
      <c r="A20" s="12">
        <v>315</v>
      </c>
      <c r="B20" s="10" t="s">
        <v>186</v>
      </c>
      <c r="C20" s="10" t="s">
        <v>186</v>
      </c>
      <c r="D20" t="s">
        <v>291</v>
      </c>
      <c r="E20" t="s">
        <v>295</v>
      </c>
      <c r="F20" s="10" t="s">
        <v>186</v>
      </c>
      <c r="G20" s="10" t="s">
        <v>186</v>
      </c>
      <c r="H20" s="10" t="s">
        <v>186</v>
      </c>
      <c r="I20" t="s">
        <v>316</v>
      </c>
      <c r="J20" t="s">
        <v>320</v>
      </c>
      <c r="K20" s="10" t="s">
        <v>186</v>
      </c>
    </row>
    <row r="21" spans="1:11" x14ac:dyDescent="0.2">
      <c r="A21" s="12">
        <v>350</v>
      </c>
      <c r="B21" s="10" t="s">
        <v>186</v>
      </c>
      <c r="C21" s="10" t="s">
        <v>186</v>
      </c>
      <c r="D21" t="s">
        <v>292</v>
      </c>
      <c r="E21" t="s">
        <v>296</v>
      </c>
      <c r="F21" s="10" t="s">
        <v>186</v>
      </c>
      <c r="G21" s="10" t="s">
        <v>186</v>
      </c>
      <c r="H21" s="10" t="s">
        <v>186</v>
      </c>
      <c r="I21" t="s">
        <v>317</v>
      </c>
      <c r="J21" t="s">
        <v>321</v>
      </c>
      <c r="K21" s="10" t="s">
        <v>186</v>
      </c>
    </row>
    <row r="22" spans="1:11" x14ac:dyDescent="0.2">
      <c r="A22" s="12">
        <v>400</v>
      </c>
      <c r="B22" s="10" t="s">
        <v>186</v>
      </c>
      <c r="C22" s="10" t="s">
        <v>186</v>
      </c>
      <c r="D22" t="s">
        <v>293</v>
      </c>
      <c r="E22" t="s">
        <v>297</v>
      </c>
      <c r="F22" s="10" t="s">
        <v>186</v>
      </c>
      <c r="G22" s="10" t="s">
        <v>186</v>
      </c>
      <c r="H22" s="10" t="s">
        <v>186</v>
      </c>
      <c r="I22" t="s">
        <v>318</v>
      </c>
      <c r="J22" t="s">
        <v>322</v>
      </c>
      <c r="K22" s="10" t="s">
        <v>186</v>
      </c>
    </row>
    <row r="23" spans="1:11" x14ac:dyDescent="0.2">
      <c r="A23" s="12">
        <v>425</v>
      </c>
      <c r="B23" s="10" t="s">
        <v>186</v>
      </c>
      <c r="C23" s="10" t="s">
        <v>186</v>
      </c>
      <c r="D23" s="10" t="s">
        <v>186</v>
      </c>
      <c r="E23" t="s">
        <v>298</v>
      </c>
      <c r="F23" s="10" t="s">
        <v>186</v>
      </c>
      <c r="G23" s="10" t="s">
        <v>186</v>
      </c>
      <c r="H23" s="10" t="s">
        <v>186</v>
      </c>
      <c r="I23" s="10" t="s">
        <v>186</v>
      </c>
      <c r="J23" t="s">
        <v>323</v>
      </c>
      <c r="K23" s="10" t="s">
        <v>186</v>
      </c>
    </row>
    <row r="24" spans="1:11" x14ac:dyDescent="0.2">
      <c r="A24" s="12">
        <v>500</v>
      </c>
      <c r="B24" s="10" t="s">
        <v>186</v>
      </c>
      <c r="C24" s="10" t="s">
        <v>186</v>
      </c>
      <c r="D24" s="10" t="s">
        <v>186</v>
      </c>
      <c r="E24" t="s">
        <v>299</v>
      </c>
      <c r="F24" s="10" t="s">
        <v>186</v>
      </c>
      <c r="G24" s="10" t="s">
        <v>186</v>
      </c>
      <c r="H24" s="10" t="s">
        <v>186</v>
      </c>
      <c r="I24" s="10" t="s">
        <v>186</v>
      </c>
      <c r="J24" t="s">
        <v>324</v>
      </c>
      <c r="K24" s="10" t="s">
        <v>186</v>
      </c>
    </row>
    <row r="25" spans="1:11" x14ac:dyDescent="0.2">
      <c r="A25" s="12">
        <v>630</v>
      </c>
      <c r="B25" s="10" t="s">
        <v>186</v>
      </c>
      <c r="C25" s="10" t="s">
        <v>186</v>
      </c>
      <c r="D25" s="10" t="s">
        <v>186</v>
      </c>
      <c r="E25" t="s">
        <v>300</v>
      </c>
      <c r="F25" s="10" t="s">
        <v>186</v>
      </c>
      <c r="G25" s="10" t="s">
        <v>186</v>
      </c>
      <c r="H25" s="10" t="s">
        <v>186</v>
      </c>
      <c r="I25" s="10" t="s">
        <v>186</v>
      </c>
      <c r="J25" t="s">
        <v>325</v>
      </c>
      <c r="K25" s="10" t="s">
        <v>186</v>
      </c>
    </row>
    <row r="26" spans="1:11" x14ac:dyDescent="0.2">
      <c r="A26" s="11">
        <v>800</v>
      </c>
      <c r="B26" s="10" t="s">
        <v>186</v>
      </c>
      <c r="C26" s="10" t="s">
        <v>186</v>
      </c>
      <c r="D26" s="10" t="s">
        <v>186</v>
      </c>
      <c r="E26" s="10" t="s">
        <v>186</v>
      </c>
      <c r="F26" s="10" t="s">
        <v>186</v>
      </c>
      <c r="G26" s="10" t="s">
        <v>186</v>
      </c>
      <c r="H26" s="10" t="s">
        <v>186</v>
      </c>
      <c r="I26" s="10" t="s">
        <v>186</v>
      </c>
      <c r="J26" s="10" t="s">
        <v>186</v>
      </c>
      <c r="K26" s="10" t="s">
        <v>186</v>
      </c>
    </row>
    <row r="27" spans="1:11" x14ac:dyDescent="0.2">
      <c r="A27" s="11">
        <v>1000</v>
      </c>
      <c r="B27" s="10" t="s">
        <v>186</v>
      </c>
      <c r="C27" s="10" t="s">
        <v>186</v>
      </c>
      <c r="D27" s="10" t="s">
        <v>186</v>
      </c>
      <c r="E27" s="10" t="s">
        <v>186</v>
      </c>
      <c r="F27" s="10" t="s">
        <v>186</v>
      </c>
      <c r="G27" s="10" t="s">
        <v>186</v>
      </c>
      <c r="H27" s="10" t="s">
        <v>186</v>
      </c>
      <c r="I27" s="10" t="s">
        <v>186</v>
      </c>
      <c r="J27" s="10" t="s">
        <v>186</v>
      </c>
      <c r="K27" s="10" t="s">
        <v>186</v>
      </c>
    </row>
    <row r="28" spans="1:11" x14ac:dyDescent="0.2">
      <c r="A28" s="11">
        <v>1250</v>
      </c>
      <c r="B28" s="10" t="s">
        <v>186</v>
      </c>
      <c r="C28" s="10" t="s">
        <v>186</v>
      </c>
      <c r="D28" s="10" t="s">
        <v>186</v>
      </c>
      <c r="E28" s="10" t="s">
        <v>186</v>
      </c>
      <c r="F28" s="10" t="s">
        <v>186</v>
      </c>
      <c r="G28" s="10" t="s">
        <v>186</v>
      </c>
      <c r="H28" s="10" t="s">
        <v>186</v>
      </c>
      <c r="I28" s="10" t="s">
        <v>186</v>
      </c>
      <c r="J28" s="10" t="s">
        <v>186</v>
      </c>
      <c r="K28" s="10" t="s">
        <v>186</v>
      </c>
    </row>
    <row r="29" spans="1:11" x14ac:dyDescent="0.2">
      <c r="A29" s="11">
        <v>1500</v>
      </c>
      <c r="B29" s="10" t="s">
        <v>186</v>
      </c>
      <c r="C29" s="10" t="s">
        <v>186</v>
      </c>
      <c r="D29" s="10" t="s">
        <v>186</v>
      </c>
      <c r="E29" s="10" t="s">
        <v>186</v>
      </c>
      <c r="F29" s="10" t="s">
        <v>186</v>
      </c>
      <c r="G29" s="10" t="s">
        <v>186</v>
      </c>
      <c r="H29" s="10" t="s">
        <v>186</v>
      </c>
      <c r="I29" s="10" t="s">
        <v>186</v>
      </c>
      <c r="J29" s="10" t="s">
        <v>186</v>
      </c>
      <c r="K29" s="10" t="s">
        <v>186</v>
      </c>
    </row>
  </sheetData>
  <mergeCells count="2">
    <mergeCell ref="B1:F1"/>
    <mergeCell ref="G1:K1"/>
  </mergeCells>
  <pageMargins left="0.78740157499999996" right="0.78740157499999996" top="0.984251969" bottom="0.984251969" header="0.5" footer="0.5"/>
  <pageSetup orientation="portrait" horizontalDpi="300" verticalDpi="30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K29"/>
  <sheetViews>
    <sheetView topLeftCell="A7" workbookViewId="0">
      <selection activeCell="A24" sqref="A24"/>
    </sheetView>
  </sheetViews>
  <sheetFormatPr baseColWidth="10" defaultColWidth="9.140625" defaultRowHeight="12.75" x14ac:dyDescent="0.2"/>
  <cols>
    <col min="1" max="1" width="19" style="12" bestFit="1" customWidth="1"/>
    <col min="2" max="2" width="9.28515625" style="9" bestFit="1" customWidth="1"/>
    <col min="3" max="6" width="9.28515625" style="9" customWidth="1"/>
    <col min="7" max="8" width="9.28515625" style="9" bestFit="1" customWidth="1"/>
    <col min="9" max="16384" width="9.140625" style="9"/>
  </cols>
  <sheetData>
    <row r="1" spans="1:11" x14ac:dyDescent="0.2">
      <c r="B1" s="186" t="s">
        <v>21</v>
      </c>
      <c r="C1" s="186"/>
      <c r="D1" s="186"/>
      <c r="E1" s="186"/>
      <c r="F1" s="186"/>
      <c r="G1" s="186" t="s">
        <v>67</v>
      </c>
      <c r="H1" s="186"/>
      <c r="I1" s="186"/>
      <c r="J1" s="186"/>
      <c r="K1" s="186"/>
    </row>
    <row r="2" spans="1:11" x14ac:dyDescent="0.2">
      <c r="A2" s="12" t="s">
        <v>18</v>
      </c>
      <c r="B2" s="8" t="s">
        <v>20</v>
      </c>
      <c r="C2" s="8" t="s">
        <v>36</v>
      </c>
      <c r="D2" s="8" t="s">
        <v>45</v>
      </c>
      <c r="E2" s="8" t="s">
        <v>54</v>
      </c>
      <c r="F2" s="10" t="s">
        <v>62</v>
      </c>
      <c r="G2" s="8" t="s">
        <v>20</v>
      </c>
      <c r="H2" s="8" t="s">
        <v>36</v>
      </c>
      <c r="I2" s="8" t="s">
        <v>45</v>
      </c>
      <c r="J2" s="8" t="s">
        <v>54</v>
      </c>
      <c r="K2" s="10" t="s">
        <v>62</v>
      </c>
    </row>
    <row r="3" spans="1:11" x14ac:dyDescent="0.2">
      <c r="A3" s="13">
        <v>6</v>
      </c>
      <c r="B3" s="10" t="s">
        <v>186</v>
      </c>
      <c r="C3" s="10" t="s">
        <v>186</v>
      </c>
      <c r="D3" s="10" t="s">
        <v>186</v>
      </c>
      <c r="E3" s="10" t="s">
        <v>186</v>
      </c>
      <c r="F3" s="10" t="s">
        <v>186</v>
      </c>
      <c r="G3" s="10" t="s">
        <v>186</v>
      </c>
      <c r="H3" s="10" t="s">
        <v>186</v>
      </c>
      <c r="I3" s="10" t="s">
        <v>186</v>
      </c>
      <c r="J3" s="10" t="s">
        <v>186</v>
      </c>
      <c r="K3" s="10" t="s">
        <v>186</v>
      </c>
    </row>
    <row r="4" spans="1:11" x14ac:dyDescent="0.2">
      <c r="A4" s="13">
        <v>10</v>
      </c>
      <c r="B4" s="10" t="s">
        <v>186</v>
      </c>
      <c r="C4" s="10" t="s">
        <v>186</v>
      </c>
      <c r="D4" s="10" t="s">
        <v>186</v>
      </c>
      <c r="E4" s="10" t="s">
        <v>186</v>
      </c>
      <c r="F4" s="10" t="s">
        <v>186</v>
      </c>
      <c r="G4" s="10" t="s">
        <v>186</v>
      </c>
      <c r="H4" s="10" t="s">
        <v>186</v>
      </c>
      <c r="I4" s="10" t="s">
        <v>186</v>
      </c>
      <c r="J4" s="10" t="s">
        <v>186</v>
      </c>
      <c r="K4" s="10" t="s">
        <v>186</v>
      </c>
    </row>
    <row r="5" spans="1:11" x14ac:dyDescent="0.2">
      <c r="A5" s="12">
        <v>16</v>
      </c>
      <c r="B5" s="10" t="s">
        <v>186</v>
      </c>
      <c r="C5" s="10" t="s">
        <v>186</v>
      </c>
      <c r="D5" s="10" t="s">
        <v>186</v>
      </c>
      <c r="E5" s="10" t="s">
        <v>186</v>
      </c>
      <c r="F5" s="10" t="s">
        <v>186</v>
      </c>
      <c r="G5" s="10" t="s">
        <v>186</v>
      </c>
      <c r="H5" s="10" t="s">
        <v>186</v>
      </c>
      <c r="I5" s="10" t="s">
        <v>186</v>
      </c>
      <c r="J5" s="10" t="s">
        <v>186</v>
      </c>
      <c r="K5" s="10" t="s">
        <v>186</v>
      </c>
    </row>
    <row r="6" spans="1:11" x14ac:dyDescent="0.2">
      <c r="A6" s="12">
        <v>20</v>
      </c>
      <c r="B6" s="10" t="s">
        <v>186</v>
      </c>
      <c r="C6" s="10" t="s">
        <v>186</v>
      </c>
      <c r="D6" s="10" t="s">
        <v>186</v>
      </c>
      <c r="E6" s="10" t="s">
        <v>186</v>
      </c>
      <c r="F6" s="10" t="s">
        <v>186</v>
      </c>
      <c r="G6" s="10" t="s">
        <v>186</v>
      </c>
      <c r="H6" s="10" t="s">
        <v>186</v>
      </c>
      <c r="I6" s="10" t="s">
        <v>186</v>
      </c>
      <c r="J6" s="10" t="s">
        <v>186</v>
      </c>
      <c r="K6" s="10" t="s">
        <v>186</v>
      </c>
    </row>
    <row r="7" spans="1:11" x14ac:dyDescent="0.2">
      <c r="A7" s="12">
        <v>25</v>
      </c>
      <c r="B7" s="10" t="s">
        <v>186</v>
      </c>
      <c r="C7" s="10" t="s">
        <v>186</v>
      </c>
      <c r="D7" s="10" t="s">
        <v>186</v>
      </c>
      <c r="E7" s="10" t="s">
        <v>186</v>
      </c>
      <c r="F7" s="10" t="s">
        <v>186</v>
      </c>
      <c r="G7" s="10" t="s">
        <v>186</v>
      </c>
      <c r="H7" s="10" t="s">
        <v>186</v>
      </c>
      <c r="I7" s="10" t="s">
        <v>186</v>
      </c>
      <c r="J7" s="10" t="s">
        <v>186</v>
      </c>
      <c r="K7" s="10" t="s">
        <v>186</v>
      </c>
    </row>
    <row r="8" spans="1:11" x14ac:dyDescent="0.2">
      <c r="A8" s="12">
        <v>32</v>
      </c>
      <c r="B8" s="10" t="s">
        <v>186</v>
      </c>
      <c r="C8" s="10" t="s">
        <v>186</v>
      </c>
      <c r="D8" s="10" t="s">
        <v>186</v>
      </c>
      <c r="E8" s="10" t="s">
        <v>186</v>
      </c>
      <c r="F8" s="10" t="s">
        <v>186</v>
      </c>
      <c r="G8" s="10" t="s">
        <v>186</v>
      </c>
      <c r="H8" s="10" t="s">
        <v>186</v>
      </c>
      <c r="I8" s="10" t="s">
        <v>186</v>
      </c>
      <c r="J8" s="10" t="s">
        <v>186</v>
      </c>
      <c r="K8" s="10" t="s">
        <v>186</v>
      </c>
    </row>
    <row r="9" spans="1:11" x14ac:dyDescent="0.2">
      <c r="A9" s="12">
        <v>35</v>
      </c>
      <c r="B9" s="10" t="s">
        <v>186</v>
      </c>
      <c r="C9" s="10" t="s">
        <v>186</v>
      </c>
      <c r="D9" s="10" t="s">
        <v>186</v>
      </c>
      <c r="E9" s="10" t="s">
        <v>186</v>
      </c>
      <c r="F9" s="10" t="s">
        <v>186</v>
      </c>
      <c r="G9" s="10" t="s">
        <v>186</v>
      </c>
      <c r="H9" s="10" t="s">
        <v>186</v>
      </c>
      <c r="I9" s="10" t="s">
        <v>186</v>
      </c>
      <c r="J9" s="10" t="s">
        <v>186</v>
      </c>
      <c r="K9" s="10" t="s">
        <v>186</v>
      </c>
    </row>
    <row r="10" spans="1:11" x14ac:dyDescent="0.2">
      <c r="A10" s="12">
        <v>40</v>
      </c>
      <c r="B10" s="10" t="s">
        <v>186</v>
      </c>
      <c r="C10" s="19" t="s">
        <v>326</v>
      </c>
      <c r="D10" s="10" t="s">
        <v>186</v>
      </c>
      <c r="E10" s="10" t="s">
        <v>186</v>
      </c>
      <c r="F10" s="10" t="s">
        <v>186</v>
      </c>
      <c r="G10" s="10" t="s">
        <v>186</v>
      </c>
      <c r="H10" s="19" t="s">
        <v>342</v>
      </c>
      <c r="I10" s="10" t="s">
        <v>186</v>
      </c>
      <c r="J10" s="10" t="s">
        <v>186</v>
      </c>
      <c r="K10" s="10" t="s">
        <v>186</v>
      </c>
    </row>
    <row r="11" spans="1:11" x14ac:dyDescent="0.2">
      <c r="A11" s="12">
        <v>50</v>
      </c>
      <c r="B11" s="10" t="s">
        <v>186</v>
      </c>
      <c r="C11" s="19" t="s">
        <v>327</v>
      </c>
      <c r="D11" s="10" t="s">
        <v>186</v>
      </c>
      <c r="E11" s="10" t="s">
        <v>186</v>
      </c>
      <c r="F11" s="10" t="s">
        <v>186</v>
      </c>
      <c r="G11" s="10" t="s">
        <v>186</v>
      </c>
      <c r="H11" s="19" t="s">
        <v>343</v>
      </c>
      <c r="I11" s="10" t="s">
        <v>186</v>
      </c>
      <c r="J11" s="10" t="s">
        <v>186</v>
      </c>
      <c r="K11" s="10" t="s">
        <v>186</v>
      </c>
    </row>
    <row r="12" spans="1:11" x14ac:dyDescent="0.2">
      <c r="A12" s="12">
        <v>63</v>
      </c>
      <c r="B12" s="10" t="s">
        <v>186</v>
      </c>
      <c r="C12" s="19" t="s">
        <v>328</v>
      </c>
      <c r="D12" s="10" t="s">
        <v>186</v>
      </c>
      <c r="E12" s="10" t="s">
        <v>186</v>
      </c>
      <c r="F12" s="10" t="s">
        <v>186</v>
      </c>
      <c r="G12" s="10" t="s">
        <v>186</v>
      </c>
      <c r="H12" s="19" t="s">
        <v>344</v>
      </c>
      <c r="I12" s="10" t="s">
        <v>186</v>
      </c>
      <c r="J12" s="10" t="s">
        <v>186</v>
      </c>
      <c r="K12" s="10" t="s">
        <v>186</v>
      </c>
    </row>
    <row r="13" spans="1:11" x14ac:dyDescent="0.2">
      <c r="A13" s="12">
        <v>80</v>
      </c>
      <c r="B13" s="10" t="s">
        <v>186</v>
      </c>
      <c r="C13" s="19" t="s">
        <v>329</v>
      </c>
      <c r="D13" s="10" t="s">
        <v>186</v>
      </c>
      <c r="E13" s="10" t="s">
        <v>186</v>
      </c>
      <c r="F13" s="10" t="s">
        <v>186</v>
      </c>
      <c r="G13" s="10" t="s">
        <v>186</v>
      </c>
      <c r="H13" s="19" t="s">
        <v>345</v>
      </c>
      <c r="I13" s="10" t="s">
        <v>186</v>
      </c>
      <c r="J13" s="10" t="s">
        <v>186</v>
      </c>
      <c r="K13" s="10" t="s">
        <v>186</v>
      </c>
    </row>
    <row r="14" spans="1:11" x14ac:dyDescent="0.2">
      <c r="A14" s="12">
        <v>100</v>
      </c>
      <c r="B14" s="10" t="s">
        <v>186</v>
      </c>
      <c r="C14" s="19" t="s">
        <v>330</v>
      </c>
      <c r="D14" s="10" t="s">
        <v>186</v>
      </c>
      <c r="E14" s="10" t="s">
        <v>186</v>
      </c>
      <c r="F14" s="10" t="s">
        <v>186</v>
      </c>
      <c r="G14" s="10" t="s">
        <v>186</v>
      </c>
      <c r="H14" s="19" t="s">
        <v>346</v>
      </c>
      <c r="I14" s="10" t="s">
        <v>186</v>
      </c>
      <c r="J14" s="10" t="s">
        <v>186</v>
      </c>
      <c r="K14" s="10" t="s">
        <v>186</v>
      </c>
    </row>
    <row r="15" spans="1:11" x14ac:dyDescent="0.2">
      <c r="A15" s="12">
        <v>125</v>
      </c>
      <c r="B15" s="10" t="s">
        <v>186</v>
      </c>
      <c r="C15" s="19" t="s">
        <v>331</v>
      </c>
      <c r="D15" s="19" t="s">
        <v>334</v>
      </c>
      <c r="E15" s="10" t="s">
        <v>186</v>
      </c>
      <c r="F15" s="10" t="s">
        <v>186</v>
      </c>
      <c r="G15" s="10" t="s">
        <v>186</v>
      </c>
      <c r="H15" s="19" t="s">
        <v>347</v>
      </c>
      <c r="I15" s="19" t="s">
        <v>350</v>
      </c>
      <c r="J15" s="10" t="s">
        <v>186</v>
      </c>
      <c r="K15" s="10" t="s">
        <v>186</v>
      </c>
    </row>
    <row r="16" spans="1:11" x14ac:dyDescent="0.2">
      <c r="A16" s="12">
        <v>160</v>
      </c>
      <c r="B16" s="10" t="s">
        <v>186</v>
      </c>
      <c r="C16" s="19" t="s">
        <v>332</v>
      </c>
      <c r="D16" s="19" t="s">
        <v>335</v>
      </c>
      <c r="E16" s="10" t="s">
        <v>186</v>
      </c>
      <c r="F16" s="10" t="s">
        <v>186</v>
      </c>
      <c r="G16" s="10" t="s">
        <v>186</v>
      </c>
      <c r="H16" s="19" t="s">
        <v>348</v>
      </c>
      <c r="I16" s="19" t="s">
        <v>351</v>
      </c>
      <c r="J16" s="10" t="s">
        <v>186</v>
      </c>
      <c r="K16" s="10" t="s">
        <v>186</v>
      </c>
    </row>
    <row r="17" spans="1:11" x14ac:dyDescent="0.2">
      <c r="A17" s="12">
        <v>200</v>
      </c>
      <c r="B17" s="10" t="s">
        <v>186</v>
      </c>
      <c r="C17" s="19" t="s">
        <v>333</v>
      </c>
      <c r="D17" s="19" t="s">
        <v>336</v>
      </c>
      <c r="E17" s="10" t="s">
        <v>186</v>
      </c>
      <c r="F17" s="10" t="s">
        <v>186</v>
      </c>
      <c r="G17" s="10" t="s">
        <v>186</v>
      </c>
      <c r="H17" s="19" t="s">
        <v>349</v>
      </c>
      <c r="I17" s="19" t="s">
        <v>352</v>
      </c>
      <c r="J17" s="10" t="s">
        <v>186</v>
      </c>
      <c r="K17" s="10" t="s">
        <v>186</v>
      </c>
    </row>
    <row r="18" spans="1:11" x14ac:dyDescent="0.2">
      <c r="A18" s="12">
        <v>224</v>
      </c>
      <c r="B18" s="10" t="s">
        <v>186</v>
      </c>
      <c r="C18" t="s">
        <v>186</v>
      </c>
      <c r="D18" s="19" t="s">
        <v>337</v>
      </c>
      <c r="E18" s="10" t="s">
        <v>186</v>
      </c>
      <c r="F18" s="10" t="s">
        <v>186</v>
      </c>
      <c r="G18" s="10" t="s">
        <v>186</v>
      </c>
      <c r="H18" s="10" t="s">
        <v>186</v>
      </c>
      <c r="I18" s="19" t="s">
        <v>353</v>
      </c>
      <c r="J18" s="10" t="s">
        <v>186</v>
      </c>
      <c r="K18" s="10" t="s">
        <v>186</v>
      </c>
    </row>
    <row r="19" spans="1:11" x14ac:dyDescent="0.2">
      <c r="A19" s="12">
        <v>250</v>
      </c>
      <c r="B19" s="10" t="s">
        <v>186</v>
      </c>
      <c r="C19" t="s">
        <v>186</v>
      </c>
      <c r="D19" s="19" t="s">
        <v>338</v>
      </c>
      <c r="E19" s="10" t="s">
        <v>186</v>
      </c>
      <c r="F19" s="10" t="s">
        <v>186</v>
      </c>
      <c r="G19" s="10" t="s">
        <v>186</v>
      </c>
      <c r="H19" s="10" t="s">
        <v>186</v>
      </c>
      <c r="I19" s="19" t="s">
        <v>354</v>
      </c>
      <c r="J19" s="10" t="s">
        <v>186</v>
      </c>
      <c r="K19" s="10" t="s">
        <v>186</v>
      </c>
    </row>
    <row r="20" spans="1:11" x14ac:dyDescent="0.2">
      <c r="A20" s="12">
        <v>315</v>
      </c>
      <c r="B20" s="10" t="s">
        <v>186</v>
      </c>
      <c r="C20" s="10" t="s">
        <v>186</v>
      </c>
      <c r="D20" s="19" t="s">
        <v>339</v>
      </c>
      <c r="E20" s="10" t="s">
        <v>186</v>
      </c>
      <c r="F20" s="10" t="s">
        <v>186</v>
      </c>
      <c r="G20" s="10" t="s">
        <v>186</v>
      </c>
      <c r="H20" s="10" t="s">
        <v>186</v>
      </c>
      <c r="I20" s="19" t="s">
        <v>355</v>
      </c>
      <c r="J20" s="10" t="s">
        <v>186</v>
      </c>
      <c r="K20" s="10" t="s">
        <v>186</v>
      </c>
    </row>
    <row r="21" spans="1:11" x14ac:dyDescent="0.2">
      <c r="A21" s="12">
        <v>350</v>
      </c>
      <c r="B21" s="10" t="s">
        <v>186</v>
      </c>
      <c r="C21" s="10" t="s">
        <v>186</v>
      </c>
      <c r="D21" s="19" t="s">
        <v>340</v>
      </c>
      <c r="E21" s="10" t="s">
        <v>186</v>
      </c>
      <c r="F21" s="10" t="s">
        <v>186</v>
      </c>
      <c r="G21" s="10" t="s">
        <v>186</v>
      </c>
      <c r="H21" s="10" t="s">
        <v>186</v>
      </c>
      <c r="I21" s="19" t="s">
        <v>356</v>
      </c>
      <c r="J21" s="10" t="s">
        <v>186</v>
      </c>
      <c r="K21" s="10" t="s">
        <v>186</v>
      </c>
    </row>
    <row r="22" spans="1:11" x14ac:dyDescent="0.2">
      <c r="A22" s="12">
        <v>400</v>
      </c>
      <c r="B22" s="10" t="s">
        <v>186</v>
      </c>
      <c r="C22" s="10" t="s">
        <v>186</v>
      </c>
      <c r="D22" s="19" t="s">
        <v>341</v>
      </c>
      <c r="E22" s="10" t="s">
        <v>186</v>
      </c>
      <c r="F22" s="10" t="s">
        <v>186</v>
      </c>
      <c r="G22" s="10" t="s">
        <v>186</v>
      </c>
      <c r="H22" s="10" t="s">
        <v>186</v>
      </c>
      <c r="I22" s="19" t="s">
        <v>357</v>
      </c>
      <c r="J22" s="10" t="s">
        <v>186</v>
      </c>
      <c r="K22" s="10" t="s">
        <v>186</v>
      </c>
    </row>
    <row r="23" spans="1:11" x14ac:dyDescent="0.2">
      <c r="A23" s="12">
        <v>425</v>
      </c>
      <c r="B23" s="10" t="s">
        <v>186</v>
      </c>
      <c r="C23" s="10" t="s">
        <v>186</v>
      </c>
      <c r="D23" s="10" t="s">
        <v>186</v>
      </c>
      <c r="E23" s="10" t="s">
        <v>186</v>
      </c>
      <c r="F23" s="10" t="s">
        <v>186</v>
      </c>
      <c r="G23" s="10" t="s">
        <v>186</v>
      </c>
      <c r="H23" s="10" t="s">
        <v>186</v>
      </c>
      <c r="I23" s="10" t="s">
        <v>186</v>
      </c>
      <c r="J23" s="10" t="s">
        <v>186</v>
      </c>
      <c r="K23" s="10" t="s">
        <v>186</v>
      </c>
    </row>
    <row r="24" spans="1:11" x14ac:dyDescent="0.2">
      <c r="A24" s="12">
        <v>500</v>
      </c>
      <c r="B24" s="10" t="s">
        <v>186</v>
      </c>
      <c r="C24" s="10" t="s">
        <v>186</v>
      </c>
      <c r="D24" s="10" t="s">
        <v>186</v>
      </c>
      <c r="E24" s="10" t="s">
        <v>186</v>
      </c>
      <c r="F24" s="10" t="s">
        <v>186</v>
      </c>
      <c r="G24" s="10" t="s">
        <v>186</v>
      </c>
      <c r="H24" s="10" t="s">
        <v>186</v>
      </c>
      <c r="I24" s="10" t="s">
        <v>186</v>
      </c>
      <c r="J24" s="10" t="s">
        <v>186</v>
      </c>
      <c r="K24" s="10" t="s">
        <v>186</v>
      </c>
    </row>
    <row r="25" spans="1:11" x14ac:dyDescent="0.2">
      <c r="A25" s="12">
        <v>630</v>
      </c>
      <c r="B25" s="10" t="s">
        <v>186</v>
      </c>
      <c r="C25" s="10" t="s">
        <v>186</v>
      </c>
      <c r="D25" s="10" t="s">
        <v>186</v>
      </c>
      <c r="E25" s="10" t="s">
        <v>186</v>
      </c>
      <c r="F25" s="10" t="s">
        <v>186</v>
      </c>
      <c r="G25" s="10" t="s">
        <v>186</v>
      </c>
      <c r="H25" s="10" t="s">
        <v>186</v>
      </c>
      <c r="I25" s="10" t="s">
        <v>186</v>
      </c>
      <c r="J25" s="10" t="s">
        <v>186</v>
      </c>
      <c r="K25" s="10" t="s">
        <v>186</v>
      </c>
    </row>
    <row r="26" spans="1:11" x14ac:dyDescent="0.2">
      <c r="A26" s="11">
        <v>800</v>
      </c>
      <c r="B26" s="10" t="s">
        <v>186</v>
      </c>
      <c r="C26" s="10" t="s">
        <v>186</v>
      </c>
      <c r="D26" s="10" t="s">
        <v>186</v>
      </c>
      <c r="E26" s="10" t="s">
        <v>186</v>
      </c>
      <c r="F26" s="10" t="s">
        <v>186</v>
      </c>
      <c r="G26" s="10" t="s">
        <v>186</v>
      </c>
      <c r="H26" s="10" t="s">
        <v>186</v>
      </c>
      <c r="I26" s="10" t="s">
        <v>186</v>
      </c>
      <c r="J26" s="10" t="s">
        <v>186</v>
      </c>
      <c r="K26" s="10" t="s">
        <v>186</v>
      </c>
    </row>
    <row r="27" spans="1:11" x14ac:dyDescent="0.2">
      <c r="A27" s="11">
        <v>1000</v>
      </c>
      <c r="B27" s="10" t="s">
        <v>186</v>
      </c>
      <c r="C27" s="10" t="s">
        <v>186</v>
      </c>
      <c r="D27" s="10" t="s">
        <v>186</v>
      </c>
      <c r="E27" s="10" t="s">
        <v>186</v>
      </c>
      <c r="F27" s="10" t="s">
        <v>186</v>
      </c>
      <c r="G27" s="10" t="s">
        <v>186</v>
      </c>
      <c r="H27" s="10" t="s">
        <v>186</v>
      </c>
      <c r="I27" s="10" t="s">
        <v>186</v>
      </c>
      <c r="J27" s="10" t="s">
        <v>186</v>
      </c>
      <c r="K27" s="10" t="s">
        <v>186</v>
      </c>
    </row>
    <row r="28" spans="1:11" x14ac:dyDescent="0.2">
      <c r="A28" s="11">
        <v>1250</v>
      </c>
      <c r="B28" s="10" t="s">
        <v>186</v>
      </c>
      <c r="C28" s="10" t="s">
        <v>186</v>
      </c>
      <c r="D28" s="10" t="s">
        <v>186</v>
      </c>
      <c r="E28" s="10" t="s">
        <v>186</v>
      </c>
      <c r="F28" s="10" t="s">
        <v>186</v>
      </c>
      <c r="G28" s="10" t="s">
        <v>186</v>
      </c>
      <c r="H28" s="10" t="s">
        <v>186</v>
      </c>
      <c r="I28" s="10" t="s">
        <v>186</v>
      </c>
      <c r="J28" s="10" t="s">
        <v>186</v>
      </c>
      <c r="K28" s="10" t="s">
        <v>186</v>
      </c>
    </row>
    <row r="29" spans="1:11" x14ac:dyDescent="0.2">
      <c r="A29" s="11">
        <v>1500</v>
      </c>
      <c r="B29" s="10" t="s">
        <v>186</v>
      </c>
      <c r="C29" s="10" t="s">
        <v>186</v>
      </c>
      <c r="D29" s="10" t="s">
        <v>186</v>
      </c>
      <c r="E29" s="10" t="s">
        <v>186</v>
      </c>
      <c r="F29" s="10" t="s">
        <v>186</v>
      </c>
      <c r="G29" s="10" t="s">
        <v>186</v>
      </c>
      <c r="H29" s="10" t="s">
        <v>186</v>
      </c>
      <c r="I29" s="10" t="s">
        <v>186</v>
      </c>
      <c r="J29" s="10" t="s">
        <v>186</v>
      </c>
      <c r="K29" s="10" t="s">
        <v>186</v>
      </c>
    </row>
  </sheetData>
  <mergeCells count="2">
    <mergeCell ref="B1:F1"/>
    <mergeCell ref="G1:K1"/>
  </mergeCells>
  <pageMargins left="0.78740157499999996" right="0.78740157499999996" top="0.984251969" bottom="0.984251969" header="0.5" footer="0.5"/>
  <pageSetup orientation="portrait" horizontalDpi="300" verticalDpi="30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7"/>
  <sheetViews>
    <sheetView workbookViewId="0">
      <selection activeCell="D20" sqref="D20"/>
    </sheetView>
  </sheetViews>
  <sheetFormatPr baseColWidth="10" defaultRowHeight="12.75" x14ac:dyDescent="0.2"/>
  <cols>
    <col min="1" max="1" width="11.85546875" customWidth="1"/>
  </cols>
  <sheetData>
    <row r="1" spans="1:10" x14ac:dyDescent="0.2">
      <c r="B1" s="1" t="s">
        <v>16</v>
      </c>
      <c r="C1" s="1" t="s">
        <v>196</v>
      </c>
      <c r="D1" s="1" t="s">
        <v>17</v>
      </c>
      <c r="E1" s="1" t="s">
        <v>196</v>
      </c>
      <c r="F1" s="1" t="s">
        <v>185</v>
      </c>
      <c r="G1" s="1" t="s">
        <v>195</v>
      </c>
      <c r="H1" s="1" t="s">
        <v>220</v>
      </c>
      <c r="I1" s="1" t="s">
        <v>195</v>
      </c>
      <c r="J1" s="1" t="s">
        <v>226</v>
      </c>
    </row>
    <row r="2" spans="1:10" x14ac:dyDescent="0.2">
      <c r="A2" s="1" t="s">
        <v>184</v>
      </c>
      <c r="B2" t="s">
        <v>433</v>
      </c>
      <c r="C2" t="s">
        <v>429</v>
      </c>
      <c r="D2" t="s">
        <v>436</v>
      </c>
      <c r="E2" t="s">
        <v>429</v>
      </c>
      <c r="F2" t="s">
        <v>439</v>
      </c>
      <c r="G2" t="s">
        <v>429</v>
      </c>
      <c r="H2" t="s">
        <v>443</v>
      </c>
      <c r="I2" t="s">
        <v>429</v>
      </c>
      <c r="J2" t="s">
        <v>227</v>
      </c>
    </row>
    <row r="3" spans="1:10" x14ac:dyDescent="0.2">
      <c r="A3" s="1" t="s">
        <v>36</v>
      </c>
      <c r="B3" t="s">
        <v>434</v>
      </c>
      <c r="C3" t="s">
        <v>430</v>
      </c>
      <c r="D3" t="s">
        <v>437</v>
      </c>
      <c r="E3" t="s">
        <v>430</v>
      </c>
      <c r="F3" t="s">
        <v>440</v>
      </c>
      <c r="G3" t="s">
        <v>430</v>
      </c>
      <c r="H3" t="s">
        <v>444</v>
      </c>
      <c r="I3" t="s">
        <v>430</v>
      </c>
      <c r="J3" t="s">
        <v>228</v>
      </c>
    </row>
    <row r="4" spans="1:10" x14ac:dyDescent="0.2">
      <c r="A4" s="1" t="s">
        <v>45</v>
      </c>
      <c r="B4" t="s">
        <v>435</v>
      </c>
      <c r="C4" t="s">
        <v>430</v>
      </c>
      <c r="D4" t="s">
        <v>438</v>
      </c>
      <c r="E4" t="s">
        <v>430</v>
      </c>
      <c r="F4" t="s">
        <v>441</v>
      </c>
      <c r="G4" t="s">
        <v>430</v>
      </c>
      <c r="H4" t="s">
        <v>445</v>
      </c>
      <c r="I4" t="s">
        <v>430</v>
      </c>
      <c r="J4" t="s">
        <v>229</v>
      </c>
    </row>
    <row r="5" spans="1:10" x14ac:dyDescent="0.2">
      <c r="A5" s="1" t="s">
        <v>54</v>
      </c>
      <c r="B5" t="s">
        <v>435</v>
      </c>
      <c r="C5" t="s">
        <v>430</v>
      </c>
      <c r="D5" t="s">
        <v>438</v>
      </c>
      <c r="E5" t="s">
        <v>430</v>
      </c>
      <c r="F5" t="s">
        <v>442</v>
      </c>
      <c r="G5" t="s">
        <v>430</v>
      </c>
      <c r="H5" t="s">
        <v>445</v>
      </c>
      <c r="I5" t="s">
        <v>430</v>
      </c>
      <c r="J5" t="s">
        <v>230</v>
      </c>
    </row>
    <row r="6" spans="1:10" x14ac:dyDescent="0.2">
      <c r="A6" s="1" t="s">
        <v>62</v>
      </c>
      <c r="B6" t="s">
        <v>197</v>
      </c>
      <c r="C6" t="s">
        <v>198</v>
      </c>
      <c r="D6" s="14" t="s">
        <v>200</v>
      </c>
      <c r="E6" t="s">
        <v>198</v>
      </c>
      <c r="F6" t="s">
        <v>201</v>
      </c>
      <c r="G6" t="s">
        <v>198</v>
      </c>
      <c r="H6" t="s">
        <v>221</v>
      </c>
      <c r="I6" t="s">
        <v>198</v>
      </c>
      <c r="J6" t="s">
        <v>231</v>
      </c>
    </row>
    <row r="7" spans="1:10" x14ac:dyDescent="0.2">
      <c r="A7" s="1" t="s">
        <v>225</v>
      </c>
      <c r="B7" t="s">
        <v>199</v>
      </c>
      <c r="C7" t="s">
        <v>198</v>
      </c>
      <c r="D7" t="s">
        <v>219</v>
      </c>
      <c r="E7" t="s">
        <v>198</v>
      </c>
      <c r="F7" t="s">
        <v>202</v>
      </c>
      <c r="G7" t="s">
        <v>198</v>
      </c>
      <c r="H7" t="s">
        <v>222</v>
      </c>
      <c r="I7" t="s">
        <v>198</v>
      </c>
      <c r="J7" t="s">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K31"/>
  <sheetViews>
    <sheetView zoomScaleNormal="100" zoomScalePageLayoutView="70" workbookViewId="0">
      <selection activeCell="B25" sqref="B25:K25"/>
    </sheetView>
  </sheetViews>
  <sheetFormatPr baseColWidth="10" defaultRowHeight="15.75" x14ac:dyDescent="0.25"/>
  <cols>
    <col min="1" max="16384" width="11.42578125" style="105"/>
  </cols>
  <sheetData>
    <row r="2" spans="7:11" ht="18.75" x14ac:dyDescent="0.35">
      <c r="G2" s="171" t="s">
        <v>384</v>
      </c>
      <c r="H2" s="172"/>
      <c r="I2" s="172"/>
      <c r="J2" s="172"/>
      <c r="K2" s="173"/>
    </row>
    <row r="3" spans="7:11" x14ac:dyDescent="0.25">
      <c r="G3" s="168" t="s">
        <v>385</v>
      </c>
      <c r="H3" s="168"/>
      <c r="I3" s="168"/>
      <c r="J3" s="168"/>
      <c r="K3" s="169"/>
    </row>
    <row r="4" spans="7:11" x14ac:dyDescent="0.25">
      <c r="G4" s="168"/>
      <c r="H4" s="168"/>
      <c r="I4" s="168"/>
      <c r="J4" s="168"/>
      <c r="K4" s="169"/>
    </row>
    <row r="5" spans="7:11" x14ac:dyDescent="0.25">
      <c r="G5" s="168"/>
      <c r="H5" s="168"/>
      <c r="I5" s="168"/>
      <c r="J5" s="168"/>
      <c r="K5" s="169"/>
    </row>
    <row r="6" spans="7:11" x14ac:dyDescent="0.25">
      <c r="G6" s="168"/>
      <c r="H6" s="168"/>
      <c r="I6" s="168"/>
      <c r="J6" s="168"/>
      <c r="K6" s="169"/>
    </row>
    <row r="7" spans="7:11" x14ac:dyDescent="0.25">
      <c r="G7" s="168"/>
      <c r="H7" s="168"/>
      <c r="I7" s="168"/>
      <c r="J7" s="168"/>
      <c r="K7" s="169"/>
    </row>
    <row r="8" spans="7:11" x14ac:dyDescent="0.25">
      <c r="G8" s="168"/>
      <c r="H8" s="168"/>
      <c r="I8" s="168"/>
      <c r="J8" s="168"/>
      <c r="K8" s="169"/>
    </row>
    <row r="9" spans="7:11" x14ac:dyDescent="0.25">
      <c r="G9" s="168"/>
      <c r="H9" s="168"/>
      <c r="I9" s="168"/>
      <c r="J9" s="168"/>
      <c r="K9" s="169"/>
    </row>
    <row r="10" spans="7:11" x14ac:dyDescent="0.25">
      <c r="G10" s="170"/>
      <c r="H10" s="170"/>
      <c r="I10" s="170"/>
      <c r="J10" s="170"/>
      <c r="K10" s="169"/>
    </row>
    <row r="11" spans="7:11" ht="18.75" x14ac:dyDescent="0.35">
      <c r="G11" s="171" t="s">
        <v>386</v>
      </c>
      <c r="H11" s="172"/>
      <c r="I11" s="172"/>
      <c r="J11" s="172"/>
      <c r="K11" s="173"/>
    </row>
    <row r="12" spans="7:11" ht="15" customHeight="1" x14ac:dyDescent="0.25">
      <c r="G12" s="174" t="s">
        <v>387</v>
      </c>
      <c r="H12" s="174"/>
      <c r="I12" s="174"/>
      <c r="J12" s="174"/>
      <c r="K12" s="174"/>
    </row>
    <row r="13" spans="7:11" x14ac:dyDescent="0.25">
      <c r="G13" s="174"/>
      <c r="H13" s="174"/>
      <c r="I13" s="174"/>
      <c r="J13" s="174"/>
      <c r="K13" s="174"/>
    </row>
    <row r="14" spans="7:11" x14ac:dyDescent="0.25">
      <c r="G14" s="174"/>
      <c r="H14" s="174"/>
      <c r="I14" s="174"/>
      <c r="J14" s="174"/>
      <c r="K14" s="174"/>
    </row>
    <row r="15" spans="7:11" x14ac:dyDescent="0.25">
      <c r="G15" s="175" t="s">
        <v>381</v>
      </c>
      <c r="H15" s="175"/>
      <c r="I15" s="175"/>
      <c r="J15" s="175"/>
      <c r="K15" s="175"/>
    </row>
    <row r="16" spans="7:11" x14ac:dyDescent="0.25">
      <c r="G16" s="175"/>
      <c r="H16" s="175"/>
      <c r="I16" s="175"/>
      <c r="J16" s="175"/>
      <c r="K16" s="175"/>
    </row>
    <row r="17" spans="1:11" x14ac:dyDescent="0.25">
      <c r="G17" s="175"/>
      <c r="H17" s="175"/>
      <c r="I17" s="175"/>
      <c r="J17" s="175"/>
      <c r="K17" s="175"/>
    </row>
    <row r="18" spans="1:11" x14ac:dyDescent="0.25">
      <c r="G18" s="175"/>
      <c r="H18" s="175"/>
      <c r="I18" s="175"/>
      <c r="J18" s="175"/>
      <c r="K18" s="175"/>
    </row>
    <row r="19" spans="1:11" x14ac:dyDescent="0.25">
      <c r="G19" s="175"/>
      <c r="H19" s="175"/>
      <c r="I19" s="175"/>
      <c r="J19" s="175"/>
      <c r="K19" s="175"/>
    </row>
    <row r="22" spans="1:11" x14ac:dyDescent="0.25">
      <c r="B22" s="177"/>
      <c r="C22" s="177"/>
      <c r="D22" s="177"/>
      <c r="E22" s="177"/>
      <c r="F22" s="177"/>
      <c r="G22" s="177"/>
      <c r="H22" s="177"/>
      <c r="I22" s="177"/>
      <c r="J22" s="177"/>
      <c r="K22" s="177"/>
    </row>
    <row r="23" spans="1:11" ht="15.75" customHeight="1" x14ac:dyDescent="0.25">
      <c r="B23" s="176" t="s">
        <v>388</v>
      </c>
      <c r="C23" s="176"/>
      <c r="D23" s="176"/>
      <c r="E23" s="176"/>
      <c r="F23" s="176"/>
      <c r="G23" s="176"/>
      <c r="H23" s="176"/>
      <c r="I23" s="176"/>
      <c r="J23" s="176"/>
      <c r="K23" s="176"/>
    </row>
    <row r="24" spans="1:11" x14ac:dyDescent="0.25">
      <c r="B24" s="176"/>
      <c r="C24" s="176"/>
      <c r="D24" s="176"/>
      <c r="E24" s="176"/>
      <c r="F24" s="176"/>
      <c r="G24" s="176"/>
      <c r="H24" s="176"/>
      <c r="I24" s="176"/>
      <c r="J24" s="176"/>
      <c r="K24" s="176"/>
    </row>
    <row r="25" spans="1:11" ht="80.25" customHeight="1" x14ac:dyDescent="0.25">
      <c r="A25" s="106" t="s">
        <v>211</v>
      </c>
      <c r="B25" s="174" t="s">
        <v>426</v>
      </c>
      <c r="C25" s="174"/>
      <c r="D25" s="174"/>
      <c r="E25" s="174"/>
      <c r="F25" s="174"/>
      <c r="G25" s="174"/>
      <c r="H25" s="174"/>
      <c r="I25" s="174"/>
      <c r="J25" s="174"/>
      <c r="K25" s="174"/>
    </row>
    <row r="26" spans="1:11" ht="45" customHeight="1" x14ac:dyDescent="0.25">
      <c r="A26" s="106" t="s">
        <v>212</v>
      </c>
      <c r="B26" s="174" t="s">
        <v>389</v>
      </c>
      <c r="C26" s="174"/>
      <c r="D26" s="174"/>
      <c r="E26" s="174"/>
      <c r="F26" s="174"/>
      <c r="G26" s="174"/>
      <c r="H26" s="174"/>
      <c r="I26" s="174"/>
      <c r="J26" s="174"/>
      <c r="K26" s="174"/>
    </row>
    <row r="27" spans="1:11" ht="30" customHeight="1" x14ac:dyDescent="0.25">
      <c r="A27" s="106" t="s">
        <v>213</v>
      </c>
      <c r="B27" s="174" t="s">
        <v>390</v>
      </c>
      <c r="C27" s="174"/>
      <c r="D27" s="174"/>
      <c r="E27" s="174"/>
      <c r="F27" s="174"/>
      <c r="G27" s="174"/>
      <c r="H27" s="174"/>
      <c r="I27" s="174"/>
      <c r="J27" s="174"/>
      <c r="K27" s="174"/>
    </row>
    <row r="28" spans="1:11" ht="15.75" customHeight="1" x14ac:dyDescent="0.25">
      <c r="A28" s="106" t="s">
        <v>391</v>
      </c>
      <c r="B28" s="174" t="s">
        <v>392</v>
      </c>
      <c r="C28" s="174"/>
      <c r="D28" s="174"/>
      <c r="E28" s="174"/>
      <c r="F28" s="174"/>
      <c r="G28" s="174"/>
      <c r="H28" s="174"/>
      <c r="I28" s="174"/>
      <c r="J28" s="174"/>
      <c r="K28" s="174"/>
    </row>
    <row r="29" spans="1:11" ht="30" customHeight="1" x14ac:dyDescent="0.25">
      <c r="A29" s="106" t="s">
        <v>393</v>
      </c>
      <c r="B29" s="174" t="s">
        <v>394</v>
      </c>
      <c r="C29" s="174"/>
      <c r="D29" s="174"/>
      <c r="E29" s="174"/>
      <c r="F29" s="174"/>
      <c r="G29" s="174"/>
      <c r="H29" s="174"/>
      <c r="I29" s="174"/>
      <c r="J29" s="174"/>
      <c r="K29" s="174"/>
    </row>
    <row r="30" spans="1:11" ht="45" customHeight="1" x14ac:dyDescent="0.25">
      <c r="A30" s="106" t="s">
        <v>395</v>
      </c>
      <c r="B30" s="174" t="s">
        <v>396</v>
      </c>
      <c r="C30" s="174"/>
      <c r="D30" s="174"/>
      <c r="E30" s="174"/>
      <c r="F30" s="174"/>
      <c r="G30" s="174"/>
      <c r="H30" s="174"/>
      <c r="I30" s="174"/>
      <c r="J30" s="174"/>
      <c r="K30" s="174"/>
    </row>
    <row r="31" spans="1:11" x14ac:dyDescent="0.25">
      <c r="B31" s="107" t="s">
        <v>214</v>
      </c>
    </row>
  </sheetData>
  <mergeCells count="13">
    <mergeCell ref="B28:K28"/>
    <mergeCell ref="B29:K29"/>
    <mergeCell ref="B30:K30"/>
    <mergeCell ref="B22:K22"/>
    <mergeCell ref="B27:K27"/>
    <mergeCell ref="G3:K10"/>
    <mergeCell ref="G2:K2"/>
    <mergeCell ref="G11:K11"/>
    <mergeCell ref="B25:K25"/>
    <mergeCell ref="B26:K26"/>
    <mergeCell ref="G12:K14"/>
    <mergeCell ref="G15:K19"/>
    <mergeCell ref="B23:K24"/>
  </mergeCells>
  <phoneticPr fontId="0" type="noConversion"/>
  <hyperlinks>
    <hyperlink ref="B31" location="USV!A1" display="Zurück"/>
  </hyperlinks>
  <pageMargins left="0.78740157499999996" right="0.78740157499999996" top="0.984251969" bottom="0.984251969" header="0.4921259845" footer="0.4921259845"/>
  <pageSetup paperSize="9" scale="69" orientation="landscape" r:id="rId1"/>
  <headerFooter alignWithMargins="0">
    <oddHeader>&amp;CAuswahl von Batteriesicherungen - Hilfe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X33"/>
  <sheetViews>
    <sheetView zoomScaleNormal="100" zoomScalePageLayoutView="70" workbookViewId="0">
      <selection activeCell="B26" sqref="B26:K26"/>
    </sheetView>
  </sheetViews>
  <sheetFormatPr baseColWidth="10" defaultRowHeight="15" x14ac:dyDescent="0.2"/>
  <cols>
    <col min="1" max="16384" width="11.42578125" style="15"/>
  </cols>
  <sheetData>
    <row r="1" spans="1:24" ht="15.75" x14ac:dyDescent="0.25">
      <c r="A1" s="109"/>
      <c r="B1" s="109"/>
      <c r="C1" s="109"/>
      <c r="D1" s="109"/>
      <c r="E1" s="109"/>
      <c r="F1" s="109"/>
      <c r="G1" s="109"/>
      <c r="H1" s="109"/>
      <c r="I1" s="109"/>
      <c r="J1" s="109"/>
      <c r="K1" s="109"/>
      <c r="L1" s="109"/>
      <c r="M1" s="109"/>
      <c r="N1" s="109"/>
      <c r="O1" s="109"/>
      <c r="P1" s="109"/>
      <c r="Q1" s="109"/>
      <c r="R1" s="109"/>
      <c r="S1" s="109"/>
      <c r="T1" s="109"/>
      <c r="U1" s="109"/>
      <c r="V1" s="109"/>
      <c r="W1" s="109"/>
      <c r="X1" s="109"/>
    </row>
    <row r="2" spans="1:24" ht="18.75" x14ac:dyDescent="0.35">
      <c r="A2" s="109"/>
      <c r="B2" s="109"/>
      <c r="C2" s="109"/>
      <c r="D2" s="109"/>
      <c r="E2" s="109"/>
      <c r="F2" s="109"/>
      <c r="G2" s="171" t="s">
        <v>397</v>
      </c>
      <c r="H2" s="172"/>
      <c r="I2" s="172"/>
      <c r="J2" s="172"/>
      <c r="K2" s="173"/>
      <c r="L2" s="109"/>
      <c r="M2" s="109"/>
      <c r="N2" s="109"/>
      <c r="O2" s="109"/>
      <c r="P2" s="109"/>
      <c r="Q2" s="109"/>
      <c r="R2" s="109"/>
      <c r="S2" s="109"/>
      <c r="T2" s="109"/>
      <c r="U2" s="109"/>
      <c r="V2" s="109"/>
      <c r="W2" s="109"/>
      <c r="X2" s="109"/>
    </row>
    <row r="3" spans="1:24" ht="15" customHeight="1" x14ac:dyDescent="0.25">
      <c r="A3" s="109"/>
      <c r="B3" s="109"/>
      <c r="C3" s="109"/>
      <c r="D3" s="109"/>
      <c r="E3" s="109"/>
      <c r="F3" s="109"/>
      <c r="G3" s="168" t="s">
        <v>399</v>
      </c>
      <c r="H3" s="168"/>
      <c r="I3" s="168"/>
      <c r="J3" s="168"/>
      <c r="K3" s="169"/>
      <c r="L3" s="109"/>
      <c r="M3" s="109"/>
      <c r="N3" s="109"/>
      <c r="O3" s="109"/>
      <c r="P3" s="109"/>
      <c r="Q3" s="109"/>
      <c r="R3" s="109"/>
      <c r="S3" s="109"/>
      <c r="T3" s="109"/>
      <c r="U3" s="109"/>
      <c r="V3" s="109"/>
      <c r="W3" s="109"/>
      <c r="X3" s="109"/>
    </row>
    <row r="4" spans="1:24" ht="15.75" x14ac:dyDescent="0.25">
      <c r="A4" s="109"/>
      <c r="B4" s="109"/>
      <c r="C4" s="109"/>
      <c r="D4" s="109"/>
      <c r="E4" s="109"/>
      <c r="F4" s="109"/>
      <c r="G4" s="168"/>
      <c r="H4" s="168"/>
      <c r="I4" s="168"/>
      <c r="J4" s="168"/>
      <c r="K4" s="169"/>
      <c r="L4" s="109"/>
      <c r="M4" s="109"/>
      <c r="N4" s="109"/>
      <c r="O4" s="109"/>
      <c r="P4" s="109"/>
      <c r="Q4" s="109"/>
      <c r="R4" s="109"/>
      <c r="S4" s="109"/>
      <c r="T4" s="109"/>
      <c r="U4" s="109"/>
      <c r="V4" s="109"/>
      <c r="W4" s="109"/>
      <c r="X4" s="109"/>
    </row>
    <row r="5" spans="1:24" ht="15.75" x14ac:dyDescent="0.25">
      <c r="A5" s="109"/>
      <c r="B5" s="109"/>
      <c r="C5" s="109"/>
      <c r="D5" s="109"/>
      <c r="E5" s="109"/>
      <c r="F5" s="109"/>
      <c r="G5" s="168"/>
      <c r="H5" s="168"/>
      <c r="I5" s="168"/>
      <c r="J5" s="168"/>
      <c r="K5" s="169"/>
      <c r="L5" s="109"/>
      <c r="M5" s="109"/>
      <c r="N5" s="109"/>
      <c r="O5" s="109"/>
      <c r="P5" s="109"/>
      <c r="Q5" s="109"/>
      <c r="R5" s="109"/>
      <c r="S5" s="109"/>
      <c r="T5" s="109"/>
      <c r="U5" s="109"/>
      <c r="V5" s="109"/>
      <c r="W5" s="109"/>
      <c r="X5" s="109"/>
    </row>
    <row r="6" spans="1:24" ht="15.75" x14ac:dyDescent="0.25">
      <c r="A6" s="109"/>
      <c r="B6" s="109"/>
      <c r="C6" s="109"/>
      <c r="D6" s="109"/>
      <c r="E6" s="109"/>
      <c r="F6" s="109"/>
      <c r="G6" s="168"/>
      <c r="H6" s="168"/>
      <c r="I6" s="168"/>
      <c r="J6" s="168"/>
      <c r="K6" s="169"/>
      <c r="L6" s="109"/>
      <c r="M6" s="109"/>
      <c r="N6" s="109"/>
      <c r="O6" s="109"/>
      <c r="P6" s="109"/>
      <c r="Q6" s="109"/>
      <c r="R6" s="109"/>
      <c r="S6" s="109"/>
      <c r="T6" s="109"/>
      <c r="U6" s="109"/>
      <c r="V6" s="109"/>
      <c r="W6" s="109"/>
      <c r="X6" s="109"/>
    </row>
    <row r="7" spans="1:24" ht="15.75" x14ac:dyDescent="0.25">
      <c r="A7" s="109"/>
      <c r="B7" s="109"/>
      <c r="C7" s="109"/>
      <c r="D7" s="109"/>
      <c r="E7" s="109"/>
      <c r="F7" s="109"/>
      <c r="G7" s="168"/>
      <c r="H7" s="168"/>
      <c r="I7" s="168"/>
      <c r="J7" s="168"/>
      <c r="K7" s="169"/>
      <c r="L7" s="109"/>
      <c r="M7" s="109"/>
      <c r="N7" s="109"/>
      <c r="O7" s="109"/>
      <c r="P7" s="109"/>
      <c r="Q7" s="109"/>
      <c r="R7" s="109"/>
      <c r="S7" s="109"/>
      <c r="T7" s="109"/>
      <c r="U7" s="109"/>
      <c r="V7" s="109"/>
      <c r="W7" s="109"/>
      <c r="X7" s="109"/>
    </row>
    <row r="8" spans="1:24" ht="15.75" x14ac:dyDescent="0.25">
      <c r="A8" s="109"/>
      <c r="B8" s="109"/>
      <c r="C8" s="109"/>
      <c r="D8" s="109"/>
      <c r="E8" s="109"/>
      <c r="F8" s="109"/>
      <c r="G8" s="168"/>
      <c r="H8" s="168"/>
      <c r="I8" s="168"/>
      <c r="J8" s="168"/>
      <c r="K8" s="169"/>
      <c r="L8" s="109"/>
      <c r="M8" s="109"/>
      <c r="N8" s="109"/>
      <c r="O8" s="109"/>
      <c r="P8" s="109"/>
      <c r="Q8" s="109"/>
      <c r="R8" s="109"/>
      <c r="S8" s="109"/>
      <c r="T8" s="109"/>
      <c r="U8" s="109"/>
      <c r="V8" s="109"/>
      <c r="W8" s="109"/>
      <c r="X8" s="109"/>
    </row>
    <row r="9" spans="1:24" ht="15.75" x14ac:dyDescent="0.25">
      <c r="A9" s="109"/>
      <c r="B9" s="109"/>
      <c r="C9" s="109"/>
      <c r="D9" s="109"/>
      <c r="E9" s="109"/>
      <c r="F9" s="109"/>
      <c r="G9" s="168"/>
      <c r="H9" s="168"/>
      <c r="I9" s="168"/>
      <c r="J9" s="168"/>
      <c r="K9" s="169"/>
      <c r="L9" s="109"/>
      <c r="M9" s="109"/>
      <c r="N9" s="109"/>
      <c r="O9" s="109"/>
      <c r="P9" s="109"/>
      <c r="Q9" s="109"/>
      <c r="R9" s="109"/>
      <c r="S9" s="109"/>
      <c r="T9" s="109"/>
      <c r="U9" s="109"/>
      <c r="V9" s="109"/>
      <c r="W9" s="109"/>
      <c r="X9" s="109"/>
    </row>
    <row r="10" spans="1:24" ht="15.75" x14ac:dyDescent="0.25">
      <c r="A10" s="109"/>
      <c r="B10" s="109"/>
      <c r="C10" s="109"/>
      <c r="D10" s="109"/>
      <c r="E10" s="109"/>
      <c r="F10" s="109"/>
      <c r="G10" s="170"/>
      <c r="H10" s="170"/>
      <c r="I10" s="170"/>
      <c r="J10" s="170"/>
      <c r="K10" s="169"/>
      <c r="L10" s="109"/>
      <c r="M10" s="109"/>
      <c r="N10" s="109"/>
      <c r="O10" s="109"/>
      <c r="P10" s="109"/>
      <c r="Q10" s="109"/>
      <c r="R10" s="109"/>
      <c r="S10" s="109"/>
      <c r="T10" s="109"/>
      <c r="U10" s="109"/>
      <c r="V10" s="109"/>
      <c r="W10" s="109"/>
      <c r="X10" s="109"/>
    </row>
    <row r="11" spans="1:24" ht="18.75" x14ac:dyDescent="0.35">
      <c r="A11" s="109"/>
      <c r="B11" s="109"/>
      <c r="C11" s="109"/>
      <c r="D11" s="109"/>
      <c r="E11" s="109"/>
      <c r="F11" s="109"/>
      <c r="G11" s="171" t="s">
        <v>398</v>
      </c>
      <c r="H11" s="172"/>
      <c r="I11" s="172"/>
      <c r="J11" s="172"/>
      <c r="K11" s="173"/>
      <c r="L11" s="109"/>
      <c r="M11" s="109"/>
      <c r="N11" s="109"/>
      <c r="O11" s="109"/>
      <c r="P11" s="109"/>
      <c r="Q11" s="109"/>
      <c r="R11" s="109"/>
      <c r="S11" s="109"/>
      <c r="T11" s="109"/>
      <c r="U11" s="109"/>
      <c r="V11" s="109"/>
      <c r="W11" s="109"/>
      <c r="X11" s="109"/>
    </row>
    <row r="12" spans="1:24" ht="15" customHeight="1" x14ac:dyDescent="0.25">
      <c r="A12" s="109"/>
      <c r="B12" s="109"/>
      <c r="C12" s="109"/>
      <c r="D12" s="109"/>
      <c r="E12" s="109"/>
      <c r="F12" s="109"/>
      <c r="G12" s="174" t="s">
        <v>400</v>
      </c>
      <c r="H12" s="174"/>
      <c r="I12" s="174"/>
      <c r="J12" s="174"/>
      <c r="K12" s="174"/>
      <c r="L12" s="109"/>
      <c r="M12" s="109"/>
      <c r="N12" s="109"/>
      <c r="O12" s="109"/>
      <c r="P12" s="109"/>
      <c r="Q12" s="109"/>
      <c r="R12" s="109"/>
      <c r="S12" s="109"/>
      <c r="T12" s="109"/>
      <c r="U12" s="109"/>
      <c r="V12" s="109"/>
      <c r="W12" s="109"/>
      <c r="X12" s="109"/>
    </row>
    <row r="13" spans="1:24" ht="15.75" x14ac:dyDescent="0.25">
      <c r="A13" s="109"/>
      <c r="B13" s="109"/>
      <c r="C13" s="109"/>
      <c r="D13" s="109"/>
      <c r="E13" s="109"/>
      <c r="F13" s="109"/>
      <c r="G13" s="174"/>
      <c r="H13" s="174"/>
      <c r="I13" s="174"/>
      <c r="J13" s="174"/>
      <c r="K13" s="174"/>
      <c r="L13" s="109"/>
      <c r="M13" s="109"/>
      <c r="N13" s="109"/>
      <c r="O13" s="109"/>
      <c r="P13" s="109"/>
      <c r="Q13" s="109"/>
      <c r="R13" s="109"/>
      <c r="S13" s="109"/>
      <c r="T13" s="109"/>
      <c r="U13" s="109"/>
      <c r="V13" s="109"/>
      <c r="W13" s="109"/>
      <c r="X13" s="109"/>
    </row>
    <row r="14" spans="1:24" ht="15.75" x14ac:dyDescent="0.25">
      <c r="A14" s="109"/>
      <c r="B14" s="109"/>
      <c r="C14" s="109"/>
      <c r="D14" s="109"/>
      <c r="E14" s="109"/>
      <c r="F14" s="109"/>
      <c r="G14" s="174"/>
      <c r="H14" s="174"/>
      <c r="I14" s="174"/>
      <c r="J14" s="174"/>
      <c r="K14" s="174"/>
      <c r="L14" s="109"/>
      <c r="M14" s="109"/>
      <c r="N14" s="109"/>
      <c r="O14" s="109"/>
      <c r="P14" s="109"/>
      <c r="Q14" s="109"/>
      <c r="R14" s="109"/>
      <c r="S14" s="109"/>
      <c r="T14" s="109"/>
      <c r="U14" s="109"/>
      <c r="V14" s="109"/>
      <c r="W14" s="109"/>
      <c r="X14" s="109"/>
    </row>
    <row r="15" spans="1:24" ht="15.75" x14ac:dyDescent="0.25">
      <c r="A15" s="109"/>
      <c r="B15" s="109"/>
      <c r="C15" s="109"/>
      <c r="D15" s="109"/>
      <c r="E15" s="109"/>
      <c r="F15" s="109"/>
      <c r="G15" s="175" t="s">
        <v>401</v>
      </c>
      <c r="H15" s="175"/>
      <c r="I15" s="175"/>
      <c r="J15" s="175"/>
      <c r="K15" s="175"/>
      <c r="L15" s="109"/>
      <c r="M15" s="109"/>
      <c r="N15" s="109"/>
      <c r="O15" s="109"/>
      <c r="P15" s="109"/>
      <c r="Q15" s="109"/>
      <c r="R15" s="109"/>
      <c r="S15" s="109"/>
      <c r="T15" s="109"/>
      <c r="U15" s="109"/>
      <c r="V15" s="109"/>
      <c r="W15" s="109"/>
      <c r="X15" s="109"/>
    </row>
    <row r="16" spans="1:24" ht="15.75" x14ac:dyDescent="0.25">
      <c r="A16" s="109"/>
      <c r="B16" s="109"/>
      <c r="C16" s="109"/>
      <c r="D16" s="109"/>
      <c r="E16" s="109"/>
      <c r="F16" s="109"/>
      <c r="G16" s="175"/>
      <c r="H16" s="175"/>
      <c r="I16" s="175"/>
      <c r="J16" s="175"/>
      <c r="K16" s="175"/>
      <c r="L16" s="109"/>
      <c r="M16" s="109"/>
      <c r="N16" s="109"/>
      <c r="O16" s="109"/>
      <c r="P16" s="109"/>
      <c r="Q16" s="109"/>
      <c r="R16" s="109"/>
      <c r="S16" s="109"/>
      <c r="T16" s="109"/>
      <c r="U16" s="109"/>
      <c r="V16" s="109"/>
      <c r="W16" s="109"/>
      <c r="X16" s="109"/>
    </row>
    <row r="17" spans="1:24" ht="15.75" x14ac:dyDescent="0.25">
      <c r="A17" s="109"/>
      <c r="B17" s="109"/>
      <c r="C17" s="109"/>
      <c r="D17" s="109"/>
      <c r="E17" s="109"/>
      <c r="F17" s="109"/>
      <c r="G17" s="175"/>
      <c r="H17" s="175"/>
      <c r="I17" s="175"/>
      <c r="J17" s="175"/>
      <c r="K17" s="175"/>
      <c r="L17" s="109"/>
      <c r="M17" s="109"/>
      <c r="N17" s="109"/>
      <c r="O17" s="109"/>
      <c r="P17" s="109"/>
      <c r="Q17" s="109"/>
      <c r="R17" s="109"/>
      <c r="S17" s="109"/>
      <c r="T17" s="109"/>
      <c r="U17" s="109"/>
      <c r="V17" s="109"/>
      <c r="W17" s="109"/>
      <c r="X17" s="109"/>
    </row>
    <row r="18" spans="1:24" ht="15.75" x14ac:dyDescent="0.25">
      <c r="A18" s="109"/>
      <c r="B18" s="109"/>
      <c r="C18" s="109"/>
      <c r="D18" s="109"/>
      <c r="E18" s="109"/>
      <c r="F18" s="109"/>
      <c r="G18" s="175"/>
      <c r="H18" s="175"/>
      <c r="I18" s="175"/>
      <c r="J18" s="175"/>
      <c r="K18" s="175"/>
      <c r="L18" s="109"/>
      <c r="M18" s="109"/>
      <c r="N18" s="109"/>
      <c r="O18" s="109"/>
      <c r="P18" s="109"/>
      <c r="Q18" s="109"/>
      <c r="R18" s="109"/>
      <c r="S18" s="109"/>
      <c r="T18" s="109"/>
      <c r="U18" s="109"/>
      <c r="V18" s="109"/>
      <c r="W18" s="109"/>
      <c r="X18" s="109"/>
    </row>
    <row r="19" spans="1:24" ht="15.75" x14ac:dyDescent="0.25">
      <c r="A19" s="109"/>
      <c r="B19" s="109"/>
      <c r="C19" s="109"/>
      <c r="D19" s="109"/>
      <c r="E19" s="109"/>
      <c r="F19" s="109"/>
      <c r="G19" s="175"/>
      <c r="H19" s="175"/>
      <c r="I19" s="175"/>
      <c r="J19" s="175"/>
      <c r="K19" s="175"/>
      <c r="L19" s="109"/>
      <c r="M19" s="109"/>
      <c r="N19" s="109"/>
      <c r="O19" s="109"/>
      <c r="P19" s="109"/>
      <c r="Q19" s="109"/>
      <c r="R19" s="109"/>
      <c r="S19" s="109"/>
      <c r="T19" s="109"/>
      <c r="U19" s="109"/>
      <c r="V19" s="109"/>
      <c r="W19" s="109"/>
      <c r="X19" s="109"/>
    </row>
    <row r="20" spans="1:24" ht="15.75"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row>
    <row r="21" spans="1:24" ht="15.75" x14ac:dyDescent="0.2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row>
    <row r="22" spans="1:24" ht="15.75" x14ac:dyDescent="0.25">
      <c r="A22" s="109"/>
      <c r="B22" s="177"/>
      <c r="C22" s="177"/>
      <c r="D22" s="177"/>
      <c r="E22" s="177"/>
      <c r="F22" s="177"/>
      <c r="G22" s="177"/>
      <c r="H22" s="177"/>
      <c r="I22" s="177"/>
      <c r="J22" s="177"/>
      <c r="K22" s="177"/>
      <c r="L22" s="109"/>
      <c r="M22" s="109"/>
      <c r="N22" s="109"/>
      <c r="O22" s="109"/>
      <c r="P22" s="109"/>
      <c r="Q22" s="109"/>
      <c r="R22" s="109"/>
      <c r="S22" s="109"/>
      <c r="T22" s="109"/>
      <c r="U22" s="109"/>
      <c r="V22" s="109"/>
      <c r="W22" s="109"/>
      <c r="X22" s="109"/>
    </row>
    <row r="23" spans="1:24" ht="15.75" x14ac:dyDescent="0.25">
      <c r="A23" s="109"/>
      <c r="B23" s="176" t="s">
        <v>402</v>
      </c>
      <c r="C23" s="176"/>
      <c r="D23" s="176"/>
      <c r="E23" s="176"/>
      <c r="F23" s="176"/>
      <c r="G23" s="176"/>
      <c r="H23" s="176"/>
      <c r="I23" s="176"/>
      <c r="J23" s="176"/>
      <c r="K23" s="176"/>
      <c r="L23" s="109"/>
      <c r="M23" s="109"/>
      <c r="N23" s="109"/>
      <c r="O23" s="109"/>
      <c r="P23" s="109"/>
      <c r="Q23" s="109"/>
      <c r="R23" s="109"/>
      <c r="S23" s="109"/>
      <c r="T23" s="109"/>
      <c r="U23" s="109"/>
      <c r="V23" s="109"/>
      <c r="W23" s="109"/>
      <c r="X23" s="109"/>
    </row>
    <row r="24" spans="1:24" ht="15.75" x14ac:dyDescent="0.25">
      <c r="A24" s="109"/>
      <c r="B24" s="176"/>
      <c r="C24" s="176"/>
      <c r="D24" s="176"/>
      <c r="E24" s="176"/>
      <c r="F24" s="176"/>
      <c r="G24" s="176"/>
      <c r="H24" s="176"/>
      <c r="I24" s="176"/>
      <c r="J24" s="176"/>
      <c r="K24" s="176"/>
      <c r="L24" s="109"/>
      <c r="M24" s="109"/>
      <c r="N24" s="109"/>
      <c r="O24" s="109"/>
      <c r="P24" s="109"/>
      <c r="Q24" s="109"/>
      <c r="R24" s="109"/>
      <c r="S24" s="109"/>
      <c r="T24" s="109"/>
      <c r="U24" s="109"/>
      <c r="V24" s="109"/>
      <c r="W24" s="109"/>
      <c r="X24" s="109"/>
    </row>
    <row r="25" spans="1:24" ht="77.25" customHeight="1" x14ac:dyDescent="0.25">
      <c r="A25" s="106" t="s">
        <v>211</v>
      </c>
      <c r="B25" s="174" t="s">
        <v>427</v>
      </c>
      <c r="C25" s="174"/>
      <c r="D25" s="174"/>
      <c r="E25" s="174"/>
      <c r="F25" s="174"/>
      <c r="G25" s="174"/>
      <c r="H25" s="174"/>
      <c r="I25" s="174"/>
      <c r="J25" s="174"/>
      <c r="K25" s="174"/>
      <c r="L25" s="109"/>
      <c r="M25" s="109"/>
      <c r="N25" s="109"/>
      <c r="O25" s="109"/>
      <c r="P25" s="109"/>
      <c r="Q25" s="109"/>
      <c r="R25" s="109"/>
      <c r="S25" s="109"/>
      <c r="T25" s="109"/>
      <c r="U25" s="109"/>
      <c r="V25" s="109"/>
      <c r="W25" s="109"/>
      <c r="X25" s="109"/>
    </row>
    <row r="26" spans="1:24" ht="30" customHeight="1" x14ac:dyDescent="0.25">
      <c r="A26" s="106" t="s">
        <v>212</v>
      </c>
      <c r="B26" s="174" t="s">
        <v>403</v>
      </c>
      <c r="C26" s="174"/>
      <c r="D26" s="174"/>
      <c r="E26" s="174"/>
      <c r="F26" s="174"/>
      <c r="G26" s="174"/>
      <c r="H26" s="174"/>
      <c r="I26" s="174"/>
      <c r="J26" s="174"/>
      <c r="K26" s="174"/>
      <c r="L26" s="109"/>
      <c r="M26" s="109"/>
      <c r="N26" s="109"/>
      <c r="O26" s="109"/>
      <c r="P26" s="109"/>
      <c r="Q26" s="109"/>
      <c r="R26" s="109"/>
      <c r="S26" s="109"/>
      <c r="T26" s="109"/>
      <c r="U26" s="109"/>
      <c r="V26" s="109"/>
      <c r="W26" s="109"/>
      <c r="X26" s="109"/>
    </row>
    <row r="27" spans="1:24" ht="30" customHeight="1" x14ac:dyDescent="0.25">
      <c r="A27" s="106" t="s">
        <v>213</v>
      </c>
      <c r="B27" s="174" t="s">
        <v>404</v>
      </c>
      <c r="C27" s="174"/>
      <c r="D27" s="174"/>
      <c r="E27" s="174"/>
      <c r="F27" s="174"/>
      <c r="G27" s="174"/>
      <c r="H27" s="174"/>
      <c r="I27" s="174"/>
      <c r="J27" s="174"/>
      <c r="K27" s="174"/>
      <c r="L27" s="109"/>
      <c r="M27" s="109"/>
      <c r="N27" s="109"/>
      <c r="O27" s="109"/>
      <c r="P27" s="109"/>
      <c r="Q27" s="109"/>
      <c r="R27" s="109"/>
      <c r="S27" s="109"/>
      <c r="T27" s="109"/>
      <c r="U27" s="109"/>
      <c r="V27" s="109"/>
      <c r="W27" s="109"/>
      <c r="X27" s="109"/>
    </row>
    <row r="28" spans="1:24" ht="15" customHeight="1" x14ac:dyDescent="0.25">
      <c r="A28" s="106" t="s">
        <v>391</v>
      </c>
      <c r="B28" s="174" t="s">
        <v>405</v>
      </c>
      <c r="C28" s="174"/>
      <c r="D28" s="174"/>
      <c r="E28" s="174"/>
      <c r="F28" s="174"/>
      <c r="G28" s="174"/>
      <c r="H28" s="174"/>
      <c r="I28" s="174"/>
      <c r="J28" s="174"/>
      <c r="K28" s="174"/>
      <c r="L28" s="109"/>
      <c r="M28" s="109"/>
      <c r="N28" s="109"/>
      <c r="O28" s="109"/>
      <c r="P28" s="109"/>
      <c r="Q28" s="109"/>
      <c r="R28" s="109"/>
      <c r="S28" s="109"/>
      <c r="T28" s="109"/>
      <c r="U28" s="109"/>
      <c r="V28" s="109"/>
      <c r="W28" s="109"/>
      <c r="X28" s="109"/>
    </row>
    <row r="29" spans="1:24" ht="15" customHeight="1" x14ac:dyDescent="0.25">
      <c r="A29" s="106" t="s">
        <v>393</v>
      </c>
      <c r="B29" s="174" t="s">
        <v>406</v>
      </c>
      <c r="C29" s="174"/>
      <c r="D29" s="174"/>
      <c r="E29" s="174"/>
      <c r="F29" s="174"/>
      <c r="G29" s="174"/>
      <c r="H29" s="174"/>
      <c r="I29" s="174"/>
      <c r="J29" s="174"/>
      <c r="K29" s="174"/>
      <c r="L29" s="109"/>
      <c r="M29" s="109"/>
      <c r="N29" s="109"/>
      <c r="O29" s="109"/>
      <c r="P29" s="109"/>
      <c r="Q29" s="109"/>
      <c r="R29" s="109"/>
      <c r="S29" s="109"/>
      <c r="T29" s="109"/>
      <c r="U29" s="109"/>
      <c r="V29" s="109"/>
      <c r="W29" s="109"/>
      <c r="X29" s="109"/>
    </row>
    <row r="30" spans="1:24" ht="45" customHeight="1" x14ac:dyDescent="0.25">
      <c r="A30" s="106" t="s">
        <v>395</v>
      </c>
      <c r="B30" s="174" t="s">
        <v>407</v>
      </c>
      <c r="C30" s="174"/>
      <c r="D30" s="174"/>
      <c r="E30" s="174"/>
      <c r="F30" s="174"/>
      <c r="G30" s="174"/>
      <c r="H30" s="174"/>
      <c r="I30" s="174"/>
      <c r="J30" s="174"/>
      <c r="K30" s="174"/>
      <c r="L30" s="109"/>
      <c r="M30" s="109"/>
      <c r="N30" s="109"/>
      <c r="O30" s="109"/>
      <c r="P30" s="109"/>
      <c r="Q30" s="109"/>
      <c r="R30" s="109"/>
      <c r="S30" s="109"/>
      <c r="T30" s="109"/>
      <c r="U30" s="109"/>
      <c r="V30" s="109"/>
      <c r="W30" s="109"/>
      <c r="X30" s="109"/>
    </row>
    <row r="31" spans="1:24" ht="15.75" x14ac:dyDescent="0.25">
      <c r="A31" s="109"/>
      <c r="B31" s="107" t="s">
        <v>264</v>
      </c>
      <c r="C31" s="109"/>
      <c r="D31" s="109"/>
      <c r="E31" s="109"/>
      <c r="F31" s="109"/>
      <c r="G31" s="109"/>
      <c r="H31" s="109"/>
      <c r="I31" s="109"/>
      <c r="J31" s="109"/>
      <c r="K31" s="109"/>
      <c r="L31" s="109"/>
      <c r="M31" s="109"/>
      <c r="N31" s="109"/>
      <c r="O31" s="109"/>
      <c r="P31" s="109"/>
      <c r="Q31" s="109"/>
      <c r="R31" s="109"/>
      <c r="S31" s="109"/>
      <c r="T31" s="109"/>
      <c r="U31" s="109"/>
      <c r="V31" s="109"/>
      <c r="W31" s="109"/>
      <c r="X31" s="109"/>
    </row>
    <row r="32" spans="1:24" ht="15.75" x14ac:dyDescent="0.2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row>
    <row r="33" spans="1:24" ht="15.75" x14ac:dyDescent="0.2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row>
  </sheetData>
  <mergeCells count="13">
    <mergeCell ref="G2:K2"/>
    <mergeCell ref="G11:K11"/>
    <mergeCell ref="B25:K25"/>
    <mergeCell ref="B26:K26"/>
    <mergeCell ref="G12:K14"/>
    <mergeCell ref="G15:K19"/>
    <mergeCell ref="B22:K22"/>
    <mergeCell ref="B23:K24"/>
    <mergeCell ref="B28:K28"/>
    <mergeCell ref="B29:K29"/>
    <mergeCell ref="B30:K30"/>
    <mergeCell ref="B27:K27"/>
    <mergeCell ref="G3:K10"/>
  </mergeCells>
  <phoneticPr fontId="0" type="noConversion"/>
  <hyperlinks>
    <hyperlink ref="B31" location="USV!A1" display="Zurück"/>
  </hyperlinks>
  <pageMargins left="0.78740157499999996" right="0.78740157499999996" top="0.984251969" bottom="0.984251969" header="0.4921259845" footer="0.4921259845"/>
  <pageSetup paperSize="9" scale="69" orientation="landscape" r:id="rId1"/>
  <headerFooter alignWithMargins="0">
    <oddHeader>&amp;CSelection of battery protection fuse-links - Help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44"/>
  <sheetViews>
    <sheetView workbookViewId="0">
      <selection activeCell="B26" sqref="B26:K26"/>
    </sheetView>
  </sheetViews>
  <sheetFormatPr baseColWidth="10" defaultRowHeight="12.75" x14ac:dyDescent="0.2"/>
  <cols>
    <col min="1" max="1" width="42.85546875" bestFit="1" customWidth="1"/>
    <col min="2" max="2" width="32.140625" bestFit="1" customWidth="1"/>
  </cols>
  <sheetData>
    <row r="1" spans="1:2" s="4" customFormat="1" x14ac:dyDescent="0.2">
      <c r="A1" s="4" t="s">
        <v>235</v>
      </c>
      <c r="B1" s="4" t="s">
        <v>236</v>
      </c>
    </row>
    <row r="2" spans="1:2" x14ac:dyDescent="0.2">
      <c r="A2" t="s">
        <v>9</v>
      </c>
      <c r="B2" t="s">
        <v>238</v>
      </c>
    </row>
    <row r="3" spans="1:2" x14ac:dyDescent="0.2">
      <c r="A3" t="s">
        <v>203</v>
      </c>
      <c r="B3" t="s">
        <v>239</v>
      </c>
    </row>
    <row r="4" spans="1:2" x14ac:dyDescent="0.2">
      <c r="A4" t="s">
        <v>266</v>
      </c>
      <c r="B4" t="s">
        <v>267</v>
      </c>
    </row>
    <row r="5" spans="1:2" x14ac:dyDescent="0.2">
      <c r="A5" t="s">
        <v>14</v>
      </c>
      <c r="B5" t="s">
        <v>240</v>
      </c>
    </row>
    <row r="6" spans="1:2" x14ac:dyDescent="0.2">
      <c r="A6" t="s">
        <v>5</v>
      </c>
      <c r="B6" t="s">
        <v>241</v>
      </c>
    </row>
    <row r="7" spans="1:2" x14ac:dyDescent="0.2">
      <c r="A7" s="20" t="s">
        <v>422</v>
      </c>
      <c r="B7" s="20" t="s">
        <v>423</v>
      </c>
    </row>
    <row r="8" spans="1:2" x14ac:dyDescent="0.2">
      <c r="A8" t="s">
        <v>204</v>
      </c>
      <c r="B8" t="s">
        <v>252</v>
      </c>
    </row>
    <row r="9" spans="1:2" x14ac:dyDescent="0.2">
      <c r="A9" t="s">
        <v>205</v>
      </c>
      <c r="B9" t="s">
        <v>243</v>
      </c>
    </row>
    <row r="10" spans="1:2" x14ac:dyDescent="0.2">
      <c r="A10" t="s">
        <v>193</v>
      </c>
      <c r="B10" t="s">
        <v>244</v>
      </c>
    </row>
    <row r="11" spans="1:2" x14ac:dyDescent="0.2">
      <c r="A11" t="s">
        <v>237</v>
      </c>
      <c r="B11" t="s">
        <v>245</v>
      </c>
    </row>
    <row r="12" spans="1:2" x14ac:dyDescent="0.2">
      <c r="A12" t="s">
        <v>209</v>
      </c>
      <c r="B12" t="s">
        <v>246</v>
      </c>
    </row>
    <row r="13" spans="1:2" x14ac:dyDescent="0.2">
      <c r="A13" t="s">
        <v>6</v>
      </c>
      <c r="B13" t="s">
        <v>247</v>
      </c>
    </row>
    <row r="14" spans="1:2" x14ac:dyDescent="0.2">
      <c r="A14" t="s">
        <v>7</v>
      </c>
      <c r="B14" t="s">
        <v>248</v>
      </c>
    </row>
    <row r="15" spans="1:2" x14ac:dyDescent="0.2">
      <c r="A15" t="s">
        <v>11</v>
      </c>
      <c r="B15" t="s">
        <v>249</v>
      </c>
    </row>
    <row r="16" spans="1:2" x14ac:dyDescent="0.2">
      <c r="A16" s="20" t="s">
        <v>382</v>
      </c>
      <c r="B16" s="20" t="s">
        <v>383</v>
      </c>
    </row>
    <row r="17" spans="1:2" x14ac:dyDescent="0.2">
      <c r="A17" t="s">
        <v>206</v>
      </c>
      <c r="B17" t="s">
        <v>250</v>
      </c>
    </row>
    <row r="18" spans="1:2" x14ac:dyDescent="0.2">
      <c r="A18" t="s">
        <v>233</v>
      </c>
      <c r="B18" t="s">
        <v>251</v>
      </c>
    </row>
    <row r="19" spans="1:2" x14ac:dyDescent="0.2">
      <c r="A19" t="s">
        <v>234</v>
      </c>
      <c r="B19" t="s">
        <v>234</v>
      </c>
    </row>
    <row r="20" spans="1:2" x14ac:dyDescent="0.2">
      <c r="A20" t="s">
        <v>187</v>
      </c>
      <c r="B20" t="s">
        <v>242</v>
      </c>
    </row>
    <row r="21" spans="1:2" x14ac:dyDescent="0.2">
      <c r="A21" t="s">
        <v>261</v>
      </c>
      <c r="B21" t="s">
        <v>253</v>
      </c>
    </row>
    <row r="22" spans="1:2" x14ac:dyDescent="0.2">
      <c r="A22" t="s">
        <v>218</v>
      </c>
      <c r="B22" t="s">
        <v>254</v>
      </c>
    </row>
    <row r="23" spans="1:2" x14ac:dyDescent="0.2">
      <c r="A23" t="s">
        <v>16</v>
      </c>
      <c r="B23" t="s">
        <v>255</v>
      </c>
    </row>
    <row r="24" spans="1:2" x14ac:dyDescent="0.2">
      <c r="A24" t="s">
        <v>17</v>
      </c>
      <c r="B24" t="s">
        <v>256</v>
      </c>
    </row>
    <row r="25" spans="1:2" x14ac:dyDescent="0.2">
      <c r="A25" t="s">
        <v>185</v>
      </c>
      <c r="B25" t="s">
        <v>257</v>
      </c>
    </row>
    <row r="26" spans="1:2" x14ac:dyDescent="0.2">
      <c r="A26" t="s">
        <v>220</v>
      </c>
      <c r="B26" t="s">
        <v>258</v>
      </c>
    </row>
    <row r="27" spans="1:2" x14ac:dyDescent="0.2">
      <c r="A27" t="s">
        <v>15</v>
      </c>
      <c r="B27" t="s">
        <v>259</v>
      </c>
    </row>
    <row r="28" spans="1:2" x14ac:dyDescent="0.2">
      <c r="A28" t="s">
        <v>188</v>
      </c>
      <c r="B28" t="s">
        <v>260</v>
      </c>
    </row>
    <row r="29" spans="1:2" x14ac:dyDescent="0.2">
      <c r="A29" t="s">
        <v>207</v>
      </c>
      <c r="B29" t="s">
        <v>207</v>
      </c>
    </row>
    <row r="30" spans="1:2" x14ac:dyDescent="0.2">
      <c r="A30" t="s">
        <v>195</v>
      </c>
      <c r="B30" t="s">
        <v>262</v>
      </c>
    </row>
    <row r="31" spans="1:2" x14ac:dyDescent="0.2">
      <c r="A31" s="18" t="s">
        <v>272</v>
      </c>
      <c r="B31" s="18" t="s">
        <v>274</v>
      </c>
    </row>
    <row r="32" spans="1:2" x14ac:dyDescent="0.2">
      <c r="A32" s="18" t="s">
        <v>273</v>
      </c>
      <c r="B32" s="18" t="s">
        <v>275</v>
      </c>
    </row>
    <row r="33" spans="1:2" ht="15.75" x14ac:dyDescent="0.25">
      <c r="A33" s="16" t="s">
        <v>210</v>
      </c>
      <c r="B33" s="17" t="s">
        <v>263</v>
      </c>
    </row>
    <row r="34" spans="1:2" x14ac:dyDescent="0.2">
      <c r="A34" t="s">
        <v>268</v>
      </c>
      <c r="B34" t="s">
        <v>269</v>
      </c>
    </row>
    <row r="35" spans="1:2" x14ac:dyDescent="0.2">
      <c r="A35" t="s">
        <v>270</v>
      </c>
      <c r="B35" t="s">
        <v>271</v>
      </c>
    </row>
    <row r="36" spans="1:2" x14ac:dyDescent="0.2">
      <c r="A36" t="s">
        <v>361</v>
      </c>
      <c r="B36" t="s">
        <v>372</v>
      </c>
    </row>
    <row r="37" spans="1:2" ht="13.5" x14ac:dyDescent="0.2">
      <c r="A37" s="39" t="s">
        <v>380</v>
      </c>
      <c r="B37" t="s">
        <v>377</v>
      </c>
    </row>
    <row r="38" spans="1:2" x14ac:dyDescent="0.2">
      <c r="A38" t="s">
        <v>371</v>
      </c>
      <c r="B38" t="s">
        <v>373</v>
      </c>
    </row>
    <row r="39" spans="1:2" ht="13.5" x14ac:dyDescent="0.2">
      <c r="A39" s="39" t="s">
        <v>364</v>
      </c>
      <c r="B39" t="s">
        <v>374</v>
      </c>
    </row>
    <row r="40" spans="1:2" ht="13.5" x14ac:dyDescent="0.2">
      <c r="A40" s="39" t="s">
        <v>365</v>
      </c>
      <c r="B40" t="s">
        <v>375</v>
      </c>
    </row>
    <row r="41" spans="1:2" ht="13.5" x14ac:dyDescent="0.2">
      <c r="A41" s="39" t="s">
        <v>366</v>
      </c>
      <c r="B41" t="s">
        <v>376</v>
      </c>
    </row>
    <row r="42" spans="1:2" x14ac:dyDescent="0.2">
      <c r="A42" s="20" t="s">
        <v>379</v>
      </c>
      <c r="B42" s="20" t="s">
        <v>378</v>
      </c>
    </row>
    <row r="43" spans="1:2" x14ac:dyDescent="0.2">
      <c r="A43" s="20" t="s">
        <v>408</v>
      </c>
      <c r="B43" s="20" t="s">
        <v>409</v>
      </c>
    </row>
    <row r="44" spans="1:2" x14ac:dyDescent="0.2">
      <c r="A44" s="20" t="s">
        <v>411</v>
      </c>
      <c r="B44" s="20" t="s">
        <v>410</v>
      </c>
    </row>
  </sheetData>
  <phoneticPr fontId="0" type="noConversion"/>
  <hyperlinks>
    <hyperlink ref="A33" location="Hilfe!A1" display="Hilfe"/>
    <hyperlink ref="B33" location="Help!A1" display="Help"/>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8"/>
  <sheetViews>
    <sheetView workbookViewId="0">
      <selection activeCell="B24" sqref="B24"/>
    </sheetView>
  </sheetViews>
  <sheetFormatPr baseColWidth="10" defaultRowHeight="12.75" x14ac:dyDescent="0.2"/>
  <cols>
    <col min="1" max="1" width="11.42578125" style="122"/>
    <col min="2" max="2" width="57.5703125" style="114" customWidth="1"/>
    <col min="3" max="16384" width="11.42578125" style="112"/>
  </cols>
  <sheetData>
    <row r="1" spans="1:2" x14ac:dyDescent="0.2">
      <c r="A1" s="120" t="s">
        <v>413</v>
      </c>
      <c r="B1" s="111" t="s">
        <v>414</v>
      </c>
    </row>
    <row r="2" spans="1:2" ht="25.5" x14ac:dyDescent="0.2">
      <c r="A2" s="121" t="s">
        <v>412</v>
      </c>
      <c r="B2" s="113" t="s">
        <v>415</v>
      </c>
    </row>
    <row r="3" spans="1:2" x14ac:dyDescent="0.2">
      <c r="A3" s="121" t="s">
        <v>416</v>
      </c>
      <c r="B3" s="113" t="s">
        <v>417</v>
      </c>
    </row>
    <row r="4" spans="1:2" ht="25.5" x14ac:dyDescent="0.2">
      <c r="A4" s="121" t="s">
        <v>418</v>
      </c>
      <c r="B4" s="113" t="s">
        <v>419</v>
      </c>
    </row>
    <row r="5" spans="1:2" ht="25.5" x14ac:dyDescent="0.2">
      <c r="A5" s="121" t="s">
        <v>420</v>
      </c>
      <c r="B5" s="113" t="s">
        <v>421</v>
      </c>
    </row>
    <row r="6" spans="1:2" ht="51" x14ac:dyDescent="0.2">
      <c r="A6" s="121" t="s">
        <v>424</v>
      </c>
      <c r="B6" s="113" t="s">
        <v>425</v>
      </c>
    </row>
    <row r="7" spans="1:2" x14ac:dyDescent="0.2">
      <c r="A7" s="122" t="s">
        <v>432</v>
      </c>
      <c r="B7" s="114" t="s">
        <v>428</v>
      </c>
    </row>
    <row r="8" spans="1:2" x14ac:dyDescent="0.2">
      <c r="A8" s="187" t="s">
        <v>447</v>
      </c>
      <c r="B8" s="188" t="s">
        <v>448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E21"/>
  <sheetViews>
    <sheetView workbookViewId="0">
      <pane xSplit="1" ySplit="5" topLeftCell="B6" activePane="bottomRight" state="frozen"/>
      <selection activeCell="B26" sqref="B26:K26"/>
      <selection pane="topRight" activeCell="B26" sqref="B26:K26"/>
      <selection pane="bottomLeft" activeCell="B26" sqref="B26:K26"/>
      <selection pane="bottomRight" activeCell="A14" sqref="A14"/>
    </sheetView>
  </sheetViews>
  <sheetFormatPr baseColWidth="10" defaultRowHeight="12.75" x14ac:dyDescent="0.2"/>
  <cols>
    <col min="1" max="1" width="21.28515625" bestFit="1" customWidth="1"/>
    <col min="2" max="2" width="9.5703125" customWidth="1"/>
    <col min="3" max="4" width="9.42578125" bestFit="1" customWidth="1"/>
    <col min="5" max="5" width="8.28515625" customWidth="1"/>
    <col min="8" max="8" width="9.28515625" bestFit="1" customWidth="1"/>
    <col min="9" max="10" width="9.42578125" bestFit="1" customWidth="1"/>
    <col min="11" max="11" width="5.140625" bestFit="1" customWidth="1"/>
    <col min="14" max="14" width="9.28515625" bestFit="1" customWidth="1"/>
    <col min="15" max="16" width="9.42578125" bestFit="1" customWidth="1"/>
    <col min="17" max="17" width="5.140625" bestFit="1" customWidth="1"/>
    <col min="20" max="20" width="9.28515625" bestFit="1" customWidth="1"/>
    <col min="21" max="22" width="9.42578125" bestFit="1" customWidth="1"/>
    <col min="23" max="23" width="5.140625" bestFit="1" customWidth="1"/>
    <col min="26" max="26" width="9.28515625" bestFit="1" customWidth="1"/>
    <col min="27" max="28" width="9.42578125" bestFit="1" customWidth="1"/>
    <col min="29" max="29" width="6.7109375" customWidth="1"/>
  </cols>
  <sheetData>
    <row r="1" spans="1:31" x14ac:dyDescent="0.2">
      <c r="A1" t="s">
        <v>11</v>
      </c>
      <c r="B1" s="20" t="s">
        <v>362</v>
      </c>
      <c r="C1" s="20" t="s">
        <v>363</v>
      </c>
      <c r="D1" s="20"/>
      <c r="E1" s="20"/>
    </row>
    <row r="2" spans="1:31" x14ac:dyDescent="0.2">
      <c r="A2" s="3">
        <f>USV!J23</f>
        <v>571.42857142857144</v>
      </c>
      <c r="B2">
        <f>USV!M23</f>
        <v>0</v>
      </c>
      <c r="C2">
        <f>USV!O23</f>
        <v>0</v>
      </c>
    </row>
    <row r="3" spans="1:31" ht="13.5" thickBot="1" x14ac:dyDescent="0.25"/>
    <row r="4" spans="1:31" x14ac:dyDescent="0.2">
      <c r="A4" s="35"/>
      <c r="B4" s="181" t="s">
        <v>20</v>
      </c>
      <c r="C4" s="182"/>
      <c r="D4" s="182"/>
      <c r="E4" s="182"/>
      <c r="F4" s="182"/>
      <c r="G4" s="183"/>
      <c r="H4" s="178" t="s">
        <v>36</v>
      </c>
      <c r="I4" s="179"/>
      <c r="J4" s="179"/>
      <c r="K4" s="179"/>
      <c r="L4" s="179"/>
      <c r="M4" s="180"/>
      <c r="N4" s="178" t="s">
        <v>45</v>
      </c>
      <c r="O4" s="179"/>
      <c r="P4" s="179"/>
      <c r="Q4" s="179"/>
      <c r="R4" s="179"/>
      <c r="S4" s="180"/>
      <c r="T4" s="178" t="s">
        <v>54</v>
      </c>
      <c r="U4" s="179"/>
      <c r="V4" s="179"/>
      <c r="W4" s="179"/>
      <c r="X4" s="179"/>
      <c r="Y4" s="180"/>
      <c r="Z4" s="178" t="s">
        <v>62</v>
      </c>
      <c r="AA4" s="179"/>
      <c r="AB4" s="179"/>
      <c r="AC4" s="179"/>
      <c r="AD4" s="179"/>
      <c r="AE4" s="180"/>
    </row>
    <row r="5" spans="1:31" x14ac:dyDescent="0.2">
      <c r="A5" s="36"/>
      <c r="B5" s="21" t="s">
        <v>367</v>
      </c>
      <c r="C5" s="22" t="s">
        <v>362</v>
      </c>
      <c r="D5" s="22" t="s">
        <v>363</v>
      </c>
      <c r="E5" s="22" t="s">
        <v>368</v>
      </c>
      <c r="F5" s="23" t="s">
        <v>191</v>
      </c>
      <c r="G5" s="24" t="s">
        <v>192</v>
      </c>
      <c r="H5" s="21" t="s">
        <v>367</v>
      </c>
      <c r="I5" s="22" t="s">
        <v>362</v>
      </c>
      <c r="J5" s="22" t="s">
        <v>363</v>
      </c>
      <c r="K5" s="22" t="s">
        <v>368</v>
      </c>
      <c r="L5" s="23" t="s">
        <v>191</v>
      </c>
      <c r="M5" s="24" t="s">
        <v>192</v>
      </c>
      <c r="N5" s="21" t="s">
        <v>367</v>
      </c>
      <c r="O5" s="22" t="s">
        <v>362</v>
      </c>
      <c r="P5" s="22" t="s">
        <v>363</v>
      </c>
      <c r="Q5" s="22" t="s">
        <v>368</v>
      </c>
      <c r="R5" s="23" t="s">
        <v>191</v>
      </c>
      <c r="S5" s="24" t="s">
        <v>192</v>
      </c>
      <c r="T5" s="21" t="s">
        <v>367</v>
      </c>
      <c r="U5" s="22" t="s">
        <v>362</v>
      </c>
      <c r="V5" s="22" t="s">
        <v>363</v>
      </c>
      <c r="W5" s="22" t="s">
        <v>368</v>
      </c>
      <c r="X5" s="23" t="s">
        <v>191</v>
      </c>
      <c r="Y5" s="24" t="s">
        <v>192</v>
      </c>
      <c r="Z5" s="21" t="s">
        <v>367</v>
      </c>
      <c r="AA5" s="22" t="s">
        <v>362</v>
      </c>
      <c r="AB5" s="22" t="s">
        <v>363</v>
      </c>
      <c r="AC5" s="22" t="s">
        <v>368</v>
      </c>
      <c r="AD5" s="23" t="s">
        <v>191</v>
      </c>
      <c r="AE5" s="24" t="s">
        <v>192</v>
      </c>
    </row>
    <row r="6" spans="1:31" x14ac:dyDescent="0.2">
      <c r="A6" s="36" t="s">
        <v>189</v>
      </c>
      <c r="B6" s="25" t="e">
        <f ca="1">OFFSET('NH00C-500V'!$A$5,0,MATCH(A$2,'NH00C-500V'!$B$24:$O$24,-1))</f>
        <v>#N/A</v>
      </c>
      <c r="C6" s="26">
        <f ca="1">OFFSET('NH00C-500V'!$A$5,0,MATCH(B$2,'NH00C-500V'!$B$27:$O$27,-1))</f>
        <v>6</v>
      </c>
      <c r="D6" s="26">
        <f ca="1">OFFSET('NH00C-500V'!$A$5,0,MATCH(C$2,'NH00C-500V'!$B$30:$O$30,-1))</f>
        <v>6</v>
      </c>
      <c r="E6" s="26" t="e">
        <f ca="1">MAX(B6:D6)</f>
        <v>#N/A</v>
      </c>
      <c r="F6" s="23" t="str">
        <f ca="1">IF(ISNA(E6),"-",VLOOKUP(E6,'SE-500V'!$A:$K,2,0))</f>
        <v>-</v>
      </c>
      <c r="G6" s="27" t="str">
        <f ca="1">IF(ISNA(E6),"-",VLOOKUP(E6,'SE-500V'!$A:$K,7,0))</f>
        <v>-</v>
      </c>
      <c r="H6" s="34">
        <f ca="1">OFFSET('NH1-4a-500V'!$A$5,0,MATCH(A$2,'NH1-4a-500V'!$B$24:$W$24,-1))</f>
        <v>500</v>
      </c>
      <c r="I6" s="23">
        <f ca="1">OFFSET('NH1-4a-500V'!$A$5,0,MATCH(B$2,'NH1-4a-500V'!$B$27:$W$27,-1))</f>
        <v>25</v>
      </c>
      <c r="J6" s="23">
        <f ca="1">OFFSET('NH1-4a-500V'!$A$5,0,MATCH(C$2,'NH1-4a-500V'!$B$30:$W$30,-1))</f>
        <v>25</v>
      </c>
      <c r="K6" s="26">
        <f ca="1">MAX(H6:J6)</f>
        <v>500</v>
      </c>
      <c r="L6" s="23" t="str">
        <f ca="1">IF(ISNA(K6),"-",VLOOKUP(K6,'SE-500V'!$A:$K,3,0))</f>
        <v>-</v>
      </c>
      <c r="M6" s="27" t="str">
        <f ca="1">IF(ISNA(K6),"-",VLOOKUP(K6,'SE-500V'!$A:$K,8,0))</f>
        <v>-</v>
      </c>
      <c r="N6" s="34">
        <f ca="1">OFFSET('NH1-4a-500V'!$A$5,0,MATCH(A$2,'NH1-4a-500V'!$B$24:$V$24,-1))</f>
        <v>500</v>
      </c>
      <c r="O6" s="23">
        <f ca="1">OFFSET('NH1-4a-500V'!$A$5,0,MATCH(B$2,'NH1-4a-500V'!$B$27:$V$27,-1))</f>
        <v>35</v>
      </c>
      <c r="P6" s="23">
        <f ca="1">OFFSET('NH1-4a-500V'!$A$5,0,MATCH(C$2,'NH1-4a-500V'!$B$30:$V$30,-1))</f>
        <v>35</v>
      </c>
      <c r="Q6" s="26">
        <f ca="1">MAX(N6:P6)</f>
        <v>500</v>
      </c>
      <c r="R6" s="23" t="str">
        <f ca="1">IF(ISNA(Q6),"-",VLOOKUP(Q6,'SE-500V'!$A:$K,4,0))</f>
        <v>-</v>
      </c>
      <c r="S6" s="27" t="str">
        <f ca="1">IF(ISNA(Q6),"-",VLOOKUP(Q6,'SE-500V'!$A:$K,9,0))</f>
        <v>-</v>
      </c>
      <c r="T6" s="34">
        <f ca="1">OFFSET('NH1-4a-500V'!$A$5,0,MATCH(A$2,'NH1-4a-500V'!$B$24:$V$24,-1))</f>
        <v>500</v>
      </c>
      <c r="U6" s="23">
        <f ca="1">OFFSET('NH1-4a-500V'!$A$5,0,MATCH(B$2,'NH1-4a-500V'!$B$27:$V$27,-1))</f>
        <v>35</v>
      </c>
      <c r="V6" s="23">
        <f ca="1">OFFSET('NH1-4a-500V'!$A$5,0,MATCH(C$2,'NH1-4a-500V'!$B$30:$V$30,-1))</f>
        <v>35</v>
      </c>
      <c r="W6" s="26">
        <f ca="1">MAX(T6:V6)</f>
        <v>500</v>
      </c>
      <c r="X6" s="23" t="str">
        <f ca="1">IF(ISNA(W6),"-",VLOOKUP(W6,'SE-500V'!$A:$K,5,0))</f>
        <v>R3216600</v>
      </c>
      <c r="Y6" s="27" t="str">
        <f ca="1">IF(ISNA(W6),"-",VLOOKUP(W6,'SE-500V'!$A:$K,10,0))</f>
        <v>R3216604</v>
      </c>
      <c r="Z6" s="34">
        <f ca="1">OFFSET('NH1-4a-500V'!$A$5,0,MATCH(A$2,'NH1-4a-500V'!$B$24:$V$24,-1))</f>
        <v>500</v>
      </c>
      <c r="AA6" s="23">
        <f ca="1">OFFSET('NH1-4a-500V'!$A$5,0,MATCH(B$2,'NH1-4a-500V'!$B$27:$V$27,-1))</f>
        <v>35</v>
      </c>
      <c r="AB6" s="23">
        <f ca="1">OFFSET('NH1-4a-500V'!$A$5,0,MATCH(C$2,'NH1-4a-500V'!$B$30:$V$30,-1))</f>
        <v>35</v>
      </c>
      <c r="AC6" s="23"/>
      <c r="AD6" s="23" t="str">
        <f ca="1">IF(ISNA(Z6),"-",VLOOKUP(Z6,'SE-500V'!$A:$K,6,0))</f>
        <v>-</v>
      </c>
      <c r="AE6" s="27" t="str">
        <f ca="1">IF(ISNA(Z6),"-",VLOOKUP(Z6,'SE-500V'!$A:$K,11,0))</f>
        <v>-</v>
      </c>
    </row>
    <row r="7" spans="1:31" x14ac:dyDescent="0.2">
      <c r="A7" s="36" t="s">
        <v>190</v>
      </c>
      <c r="B7" s="28" t="e">
        <f ca="1">OFFSET('NH00C-690V'!$A$5,0,MATCH(A$2,'NH00C-690V'!$B$24:$M$24,-1))</f>
        <v>#N/A</v>
      </c>
      <c r="C7" s="29">
        <f ca="1">OFFSET('NH00C-690V'!$A$5,0,MATCH(B$2,'NH00C-690V'!$B$27:$M$27,-1))</f>
        <v>10</v>
      </c>
      <c r="D7" s="29">
        <f ca="1">OFFSET('NH00C-690V'!$A$5,0,MATCH(C$2,'NH00C-690V'!$B$30:$M$30,-1))</f>
        <v>10</v>
      </c>
      <c r="E7" s="26" t="e">
        <f t="shared" ref="E7:E9" ca="1" si="0">MAX(B7:D7)</f>
        <v>#N/A</v>
      </c>
      <c r="F7" s="23" t="str">
        <f ca="1">IF(ISNA(E7),"-",VLOOKUP(E7,'SE-690V'!$A:$K,2,0))</f>
        <v>-</v>
      </c>
      <c r="G7" s="27" t="str">
        <f ca="1">IF(ISNA(E7),"-",VLOOKUP(E7,'SE-690V'!$A:$K,7,0))</f>
        <v>-</v>
      </c>
      <c r="H7" s="34">
        <f ca="1">OFFSET('NH1-3-690V'!$A$5,0,MATCH(A$2,'NH1-3-690V'!$B$24:$R$24,-1))</f>
        <v>500</v>
      </c>
      <c r="I7" s="23">
        <f ca="1">OFFSET('NH1-3-690V'!$A$5,0,MATCH(B$2,'NH1-3-690V'!$B$27:$R$27,-1))</f>
        <v>25</v>
      </c>
      <c r="J7" s="23">
        <f ca="1">OFFSET('NH1-3-690V'!$A$5,0,MATCH(C$2,'NH1-3-690V'!$B$30:$R$30,-1))</f>
        <v>25</v>
      </c>
      <c r="K7" s="26">
        <f t="shared" ref="K7:K9" ca="1" si="1">MAX(H7:J7)</f>
        <v>500</v>
      </c>
      <c r="L7" s="23" t="str">
        <f ca="1">IF(ISNA(K7),"-",VLOOKUP(K7,'SE-690V'!$A:$K,3,0))</f>
        <v>-</v>
      </c>
      <c r="M7" s="27" t="str">
        <f ca="1">IF(ISNA(K7),"-",VLOOKUP(K7,'SE-690V'!$A:$K,8,0))</f>
        <v>-</v>
      </c>
      <c r="N7" s="34">
        <f ca="1">OFFSET('NH1-3-690V'!$A$5,0,MATCH(A$2,'NH1-3-690V'!$B$24:$Q$24,-1))</f>
        <v>500</v>
      </c>
      <c r="O7" s="23">
        <f ca="1">OFFSET('NH1-3-690V'!$A$5,0,MATCH(B$2,'NH1-3-690V'!$B$27:$Q$27,-1))</f>
        <v>35</v>
      </c>
      <c r="P7" s="23">
        <f ca="1">OFFSET('NH1-3-690V'!$A$5,0,MATCH(C$2,'NH1-3-690V'!$B$30:$Q$30,-1))</f>
        <v>35</v>
      </c>
      <c r="Q7" s="26">
        <f t="shared" ref="Q7:Q9" ca="1" si="2">MAX(N7:P7)</f>
        <v>500</v>
      </c>
      <c r="R7" s="23" t="str">
        <f ca="1">IF(ISNA(Q7),"-",VLOOKUP(Q7,'SE-690V'!$A:$K,4,0))</f>
        <v>-</v>
      </c>
      <c r="S7" s="27" t="str">
        <f ca="1">IF(ISNA(Q7),"-",VLOOKUP(Q7,'SE-690V'!$A:$K,9,0))</f>
        <v>-</v>
      </c>
      <c r="T7" s="34">
        <f ca="1">OFFSET('NH1-3-690V'!$A$5,0,MATCH(A$2,'NH1-3-690V'!$B$24:$Q$24,-1))</f>
        <v>500</v>
      </c>
      <c r="U7" s="23">
        <f ca="1">OFFSET('NH1-3-690V'!$A$5,0,MATCH(B$2,'NH1-3-690V'!$B$27:$Q$27,-1))</f>
        <v>35</v>
      </c>
      <c r="V7" s="23">
        <f ca="1">OFFSET('NH1-3-690V'!$A$5,0,MATCH(C$2,'NH1-3-690V'!$B$30:$Q$30,-1))</f>
        <v>35</v>
      </c>
      <c r="W7" s="26">
        <f t="shared" ref="W7:W9" ca="1" si="3">MAX(T7:V7)</f>
        <v>500</v>
      </c>
      <c r="X7" s="23" t="str">
        <f ca="1">IF(ISNA(W7),"-",VLOOKUP(W7,'SE-690V'!$A:$K,5,0))</f>
        <v>R3286600</v>
      </c>
      <c r="Y7" s="27" t="str">
        <f ca="1">IF(ISNA(W7),"-",VLOOKUP(W7,'SE-690V'!$A:$K,10,0))</f>
        <v>R3286604</v>
      </c>
      <c r="Z7" s="34" t="s">
        <v>186</v>
      </c>
      <c r="AA7" s="23" t="s">
        <v>186</v>
      </c>
      <c r="AB7" s="23" t="s">
        <v>186</v>
      </c>
      <c r="AC7" s="23" t="s">
        <v>186</v>
      </c>
      <c r="AD7" s="23" t="s">
        <v>186</v>
      </c>
      <c r="AE7" s="27" t="s">
        <v>186</v>
      </c>
    </row>
    <row r="8" spans="1:31" x14ac:dyDescent="0.2">
      <c r="A8" s="36" t="s">
        <v>358</v>
      </c>
      <c r="B8" s="28" t="e">
        <f ca="1">OFFSET('NH00C-690V'!$A$5,0,MATCH(A$2,'NH00C-690V'!$B$24:$M$24,-1))</f>
        <v>#N/A</v>
      </c>
      <c r="C8" s="29">
        <f ca="1">OFFSET('NH00C-690V'!$A$5,0,MATCH(B$2,'NH00C-690V'!$B$27:$M$27,-1))</f>
        <v>10</v>
      </c>
      <c r="D8" s="29">
        <f ca="1">OFFSET('NH00C-690V'!$A$5,0,MATCH(C$2,'NH00C-690V'!$B$30:$M$30,-1))</f>
        <v>10</v>
      </c>
      <c r="E8" s="26" t="e">
        <f t="shared" ca="1" si="0"/>
        <v>#N/A</v>
      </c>
      <c r="F8" s="23" t="str">
        <f ca="1">IF(ISNA(E8),"-",VLOOKUP(E8,'SE-DC700V'!$A:$K,2,0))</f>
        <v>-</v>
      </c>
      <c r="G8" s="27" t="str">
        <f ca="1">IF(ISNA(E8),"-",VLOOKUP(E8,'SE-DC700V'!$A:$K,7,0))</f>
        <v>-</v>
      </c>
      <c r="H8" s="34">
        <f ca="1">OFFSET('NH1-3-690V'!$A$5,0,MATCH(A$2,'NH1-3-690V'!$B$24:$R$24,-1))</f>
        <v>500</v>
      </c>
      <c r="I8" s="23">
        <f ca="1">OFFSET('NH1-3-690V'!$A$5,0,MATCH(B$2,'NH1-3-690V'!$B$27:$R$27,-1))</f>
        <v>25</v>
      </c>
      <c r="J8" s="23">
        <f ca="1">OFFSET('NH1-3-690V'!$A$5,0,MATCH(C$2,'NH1-3-690V'!$B$30:$R$30,-1))</f>
        <v>25</v>
      </c>
      <c r="K8" s="26">
        <f t="shared" ca="1" si="1"/>
        <v>500</v>
      </c>
      <c r="L8" s="23" t="str">
        <f ca="1">IF(ISNA(K8),"-",VLOOKUP(K8,'SE-DC700V'!$A:$K,3,0))</f>
        <v>-</v>
      </c>
      <c r="M8" s="27" t="str">
        <f ca="1">IF(ISNA(K8),"-",VLOOKUP(K8,'SE-DC700V'!$A:$K,8,0))</f>
        <v>-</v>
      </c>
      <c r="N8" s="34">
        <f ca="1">OFFSET('NH1-3-690V'!$A$5,0,MATCH(A$2,'NH1-3-690V'!$B$24:$Q$24,-1))</f>
        <v>500</v>
      </c>
      <c r="O8" s="23">
        <f ca="1">OFFSET('NH1-3-690V'!$A$5,0,MATCH(B$2,'NH1-3-690V'!$B$27:$Q$27,-1))</f>
        <v>35</v>
      </c>
      <c r="P8" s="23">
        <f ca="1">OFFSET('NH1-3-690V'!$A$5,0,MATCH(C$2,'NH1-3-690V'!$B$30:$Q$30,-1))</f>
        <v>35</v>
      </c>
      <c r="Q8" s="26">
        <f t="shared" ca="1" si="2"/>
        <v>500</v>
      </c>
      <c r="R8" s="23" t="str">
        <f ca="1">IF(ISNA(Q8),"-",VLOOKUP(Q8,'SE-DC700V'!$A:$K,4,0))</f>
        <v>-</v>
      </c>
      <c r="S8" s="27" t="str">
        <f ca="1">IF(ISNA(Q8),"-",VLOOKUP(Q8,'SE-DC700V'!$A:$K,9,0))</f>
        <v>-</v>
      </c>
      <c r="T8" s="34">
        <f ca="1">OFFSET('NH1-3-690V'!$A$5,0,MATCH(A$2,'NH1-3-690V'!$B$24:$Q$24,-1))</f>
        <v>500</v>
      </c>
      <c r="U8" s="23">
        <f ca="1">OFFSET('NH1-3-690V'!$A$5,0,MATCH(B$2,'NH1-3-690V'!$B$27:$Q$27,-1))</f>
        <v>35</v>
      </c>
      <c r="V8" s="23">
        <f ca="1">OFFSET('NH1-3-690V'!$A$5,0,MATCH(C$2,'NH1-3-690V'!$B$30:$Q$30,-1))</f>
        <v>35</v>
      </c>
      <c r="W8" s="26">
        <f t="shared" ca="1" si="3"/>
        <v>500</v>
      </c>
      <c r="X8" s="23" t="str">
        <f ca="1">IF(ISNA(W8),"-",VLOOKUP(W8,'SE-DC700V'!$A:$K,5,0))</f>
        <v>R3236602</v>
      </c>
      <c r="Y8" s="27" t="str">
        <f ca="1">IF(ISNA(W8),"-",VLOOKUP(W8,'SE-DC700V'!$A:$K,10,0))</f>
        <v>R3236603</v>
      </c>
      <c r="Z8" s="34" t="s">
        <v>186</v>
      </c>
      <c r="AA8" s="23" t="s">
        <v>186</v>
      </c>
      <c r="AB8" s="23" t="s">
        <v>186</v>
      </c>
      <c r="AC8" s="23" t="s">
        <v>186</v>
      </c>
      <c r="AD8" s="23" t="s">
        <v>186</v>
      </c>
      <c r="AE8" s="27" t="s">
        <v>186</v>
      </c>
    </row>
    <row r="9" spans="1:31" x14ac:dyDescent="0.2">
      <c r="A9" s="36" t="s">
        <v>359</v>
      </c>
      <c r="B9" s="28" t="e">
        <f ca="1">OFFSET('NH00C-690V'!$A$5,0,MATCH(A$2,'NH00C-690V'!$B$24:$M$24,-1))</f>
        <v>#N/A</v>
      </c>
      <c r="C9" s="29">
        <f ca="1">OFFSET('NH00C-690V'!$A$5,0,MATCH(B$2,'NH00C-690V'!$B$27:$M$27,-1))</f>
        <v>10</v>
      </c>
      <c r="D9" s="29">
        <f ca="1">OFFSET('NH00C-690V'!$A$5,0,MATCH(C$2,'NH00C-690V'!$B$30:$M$30,-1))</f>
        <v>10</v>
      </c>
      <c r="E9" s="26" t="e">
        <f t="shared" ca="1" si="0"/>
        <v>#N/A</v>
      </c>
      <c r="F9" s="23" t="str">
        <f ca="1">IF(ISNA(E9),"-",VLOOKUP(E9,'SE-DC800V'!$A:$K,2,0))</f>
        <v>-</v>
      </c>
      <c r="G9" s="27" t="str">
        <f ca="1">IF(ISNA(E9),"-",VLOOKUP(E9,'SE-DC800V'!$A:$K,7,0))</f>
        <v>-</v>
      </c>
      <c r="H9" s="34">
        <f ca="1">OFFSET('NH1-3-690V'!$A$5,0,MATCH(A$2,'NH1-3-690V'!$B$24:$R$24,-1))</f>
        <v>500</v>
      </c>
      <c r="I9" s="23">
        <f ca="1">OFFSET('NH1-3-690V'!$A$5,0,MATCH(B$2,'NH1-3-690V'!$B$27:$R$27,-1))</f>
        <v>25</v>
      </c>
      <c r="J9" s="23">
        <f ca="1">OFFSET('NH1-3-690V'!$A$5,0,MATCH(C$2,'NH1-3-690V'!$B$30:$R$30,-1))</f>
        <v>25</v>
      </c>
      <c r="K9" s="26">
        <f t="shared" ca="1" si="1"/>
        <v>500</v>
      </c>
      <c r="L9" s="23" t="str">
        <f ca="1">IF(ISNA(K9),"-",VLOOKUP(K9,'SE-DC800V'!$A:$K,3,0))</f>
        <v>-</v>
      </c>
      <c r="M9" s="27" t="str">
        <f ca="1">IF(ISNA(K9),"-",VLOOKUP(K9,'SE-DC800V'!$A:$K,8,0))</f>
        <v>-</v>
      </c>
      <c r="N9" s="34">
        <f ca="1">OFFSET('NH1-3-690V'!$A$5,0,MATCH(A$2,'NH1-3-690V'!$B$24:$Q$24,-1))</f>
        <v>500</v>
      </c>
      <c r="O9" s="23">
        <f ca="1">OFFSET('NH1-3-690V'!$A$5,0,MATCH(B$2,'NH1-3-690V'!$B$27:$Q$27,-1))</f>
        <v>35</v>
      </c>
      <c r="P9" s="23">
        <f ca="1">OFFSET('NH1-3-690V'!$A$5,0,MATCH(C$2,'NH1-3-690V'!$B$30:$Q$30,-1))</f>
        <v>35</v>
      </c>
      <c r="Q9" s="26">
        <f t="shared" ca="1" si="2"/>
        <v>500</v>
      </c>
      <c r="R9" s="23" t="str">
        <f ca="1">IF(ISNA(Q9),"-",VLOOKUP(Q9,'SE-DC800V'!$A:$K,4,0))</f>
        <v>-</v>
      </c>
      <c r="S9" s="27" t="str">
        <f ca="1">IF(ISNA(Q9),"-",VLOOKUP(Q9,'SE-DC800V'!$A:$K,9,0))</f>
        <v>-</v>
      </c>
      <c r="T9" s="34">
        <f ca="1">OFFSET('NH1-3-690V'!$A$5,0,MATCH(A$2,'NH1-3-690V'!$B$24:$Q$24,-1))</f>
        <v>500</v>
      </c>
      <c r="U9" s="23">
        <f ca="1">OFFSET('NH1-3-690V'!$A$5,0,MATCH(B$2,'NH1-3-690V'!$B$27:$Q$27,-1))</f>
        <v>35</v>
      </c>
      <c r="V9" s="23">
        <f ca="1">OFFSET('NH1-3-690V'!$A$5,0,MATCH(C$2,'NH1-3-690V'!$B$30:$Q$30,-1))</f>
        <v>35</v>
      </c>
      <c r="W9" s="26">
        <f t="shared" ca="1" si="3"/>
        <v>500</v>
      </c>
      <c r="X9" s="23" t="str">
        <f ca="1">IF(ISNA(W9),"-",VLOOKUP(W9,'SE-DC800V'!$A:$K,5,0))</f>
        <v>-</v>
      </c>
      <c r="Y9" s="27" t="str">
        <f ca="1">IF(ISNA(W9),"-",VLOOKUP(W9,'SE-DC800V'!$A:$K,10,0))</f>
        <v>-</v>
      </c>
      <c r="Z9" s="34" t="s">
        <v>186</v>
      </c>
      <c r="AA9" s="23" t="s">
        <v>186</v>
      </c>
      <c r="AB9" s="23" t="s">
        <v>186</v>
      </c>
      <c r="AC9" s="23" t="s">
        <v>186</v>
      </c>
      <c r="AD9" s="23" t="s">
        <v>186</v>
      </c>
      <c r="AE9" s="27" t="s">
        <v>186</v>
      </c>
    </row>
    <row r="10" spans="1:31" ht="13.5" thickBot="1" x14ac:dyDescent="0.25">
      <c r="A10" s="37" t="s">
        <v>186</v>
      </c>
      <c r="B10" s="30" t="s">
        <v>186</v>
      </c>
      <c r="C10" s="31" t="s">
        <v>186</v>
      </c>
      <c r="D10" s="31" t="s">
        <v>186</v>
      </c>
      <c r="E10" s="31" t="s">
        <v>186</v>
      </c>
      <c r="F10" s="32" t="s">
        <v>186</v>
      </c>
      <c r="G10" s="33" t="s">
        <v>186</v>
      </c>
      <c r="H10" s="30" t="s">
        <v>186</v>
      </c>
      <c r="I10" s="31" t="s">
        <v>186</v>
      </c>
      <c r="J10" s="31" t="s">
        <v>186</v>
      </c>
      <c r="K10" s="31" t="s">
        <v>186</v>
      </c>
      <c r="L10" s="32" t="s">
        <v>186</v>
      </c>
      <c r="M10" s="33" t="s">
        <v>186</v>
      </c>
      <c r="N10" s="30" t="s">
        <v>186</v>
      </c>
      <c r="O10" s="31" t="s">
        <v>186</v>
      </c>
      <c r="P10" s="31" t="s">
        <v>186</v>
      </c>
      <c r="Q10" s="31" t="s">
        <v>186</v>
      </c>
      <c r="R10" s="32" t="s">
        <v>186</v>
      </c>
      <c r="S10" s="33" t="s">
        <v>186</v>
      </c>
      <c r="T10" s="30" t="s">
        <v>186</v>
      </c>
      <c r="U10" s="32" t="s">
        <v>186</v>
      </c>
      <c r="V10" s="32" t="s">
        <v>186</v>
      </c>
      <c r="W10" s="31" t="s">
        <v>186</v>
      </c>
      <c r="X10" s="32" t="s">
        <v>186</v>
      </c>
      <c r="Y10" s="33" t="s">
        <v>186</v>
      </c>
      <c r="Z10" s="30" t="s">
        <v>186</v>
      </c>
      <c r="AA10" s="32" t="s">
        <v>186</v>
      </c>
      <c r="AB10" s="32" t="s">
        <v>186</v>
      </c>
      <c r="AC10" s="32" t="s">
        <v>186</v>
      </c>
      <c r="AD10" s="32" t="s">
        <v>186</v>
      </c>
      <c r="AE10" s="33" t="s">
        <v>186</v>
      </c>
    </row>
    <row r="13" spans="1:31" x14ac:dyDescent="0.2">
      <c r="A13" t="s">
        <v>215</v>
      </c>
      <c r="B13" s="20" t="s">
        <v>362</v>
      </c>
      <c r="C13" s="20" t="s">
        <v>363</v>
      </c>
    </row>
    <row r="14" spans="1:31" ht="13.5" thickBot="1" x14ac:dyDescent="0.25">
      <c r="A14" s="3">
        <f>A2/2</f>
        <v>285.71428571428572</v>
      </c>
      <c r="B14" s="3">
        <f t="shared" ref="B14:C14" si="4">B2/2</f>
        <v>0</v>
      </c>
      <c r="C14" s="3">
        <f t="shared" si="4"/>
        <v>0</v>
      </c>
    </row>
    <row r="15" spans="1:31" x14ac:dyDescent="0.2">
      <c r="A15" s="35"/>
      <c r="B15" s="181" t="s">
        <v>369</v>
      </c>
      <c r="C15" s="182"/>
      <c r="D15" s="182"/>
      <c r="E15" s="182"/>
      <c r="F15" s="182"/>
      <c r="G15" s="183"/>
      <c r="H15" s="184" t="s">
        <v>370</v>
      </c>
      <c r="I15" s="179"/>
      <c r="J15" s="179"/>
      <c r="K15" s="179"/>
      <c r="L15" s="179"/>
      <c r="M15" s="179"/>
      <c r="N15" s="184" t="s">
        <v>217</v>
      </c>
      <c r="O15" s="179"/>
      <c r="P15" s="179"/>
      <c r="Q15" s="179"/>
      <c r="R15" s="179"/>
      <c r="S15" s="180"/>
      <c r="T15" s="178" t="s">
        <v>54</v>
      </c>
      <c r="U15" s="179"/>
      <c r="V15" s="179"/>
      <c r="W15" s="179"/>
      <c r="X15" s="179"/>
      <c r="Y15" s="180"/>
      <c r="Z15" s="178" t="s">
        <v>62</v>
      </c>
      <c r="AA15" s="179"/>
      <c r="AB15" s="179"/>
      <c r="AC15" s="179"/>
      <c r="AD15" s="179"/>
      <c r="AE15" s="180"/>
    </row>
    <row r="16" spans="1:31" x14ac:dyDescent="0.2">
      <c r="A16" s="36"/>
      <c r="B16" s="21" t="s">
        <v>367</v>
      </c>
      <c r="C16" s="22" t="s">
        <v>362</v>
      </c>
      <c r="D16" s="22" t="s">
        <v>363</v>
      </c>
      <c r="E16" s="22" t="s">
        <v>368</v>
      </c>
      <c r="F16" s="23" t="s">
        <v>191</v>
      </c>
      <c r="G16" s="24" t="s">
        <v>192</v>
      </c>
      <c r="H16" s="21" t="s">
        <v>367</v>
      </c>
      <c r="I16" s="22" t="s">
        <v>362</v>
      </c>
      <c r="J16" s="22" t="s">
        <v>363</v>
      </c>
      <c r="K16" s="22" t="s">
        <v>368</v>
      </c>
      <c r="L16" s="23" t="s">
        <v>191</v>
      </c>
      <c r="M16" s="38" t="s">
        <v>192</v>
      </c>
      <c r="N16" s="21" t="s">
        <v>367</v>
      </c>
      <c r="O16" s="22" t="s">
        <v>362</v>
      </c>
      <c r="P16" s="22" t="s">
        <v>363</v>
      </c>
      <c r="Q16" s="22" t="s">
        <v>368</v>
      </c>
      <c r="R16" s="23" t="s">
        <v>191</v>
      </c>
      <c r="S16" s="24" t="s">
        <v>192</v>
      </c>
      <c r="T16" s="21" t="s">
        <v>367</v>
      </c>
      <c r="U16" s="22" t="s">
        <v>362</v>
      </c>
      <c r="V16" s="22" t="s">
        <v>363</v>
      </c>
      <c r="W16" s="22" t="s">
        <v>368</v>
      </c>
      <c r="X16" s="23" t="s">
        <v>191</v>
      </c>
      <c r="Y16" s="24" t="s">
        <v>192</v>
      </c>
      <c r="Z16" s="21" t="s">
        <v>367</v>
      </c>
      <c r="AA16" s="22" t="s">
        <v>362</v>
      </c>
      <c r="AB16" s="22" t="s">
        <v>363</v>
      </c>
      <c r="AC16" s="22" t="s">
        <v>368</v>
      </c>
      <c r="AD16" s="23" t="s">
        <v>191</v>
      </c>
      <c r="AE16" s="24" t="s">
        <v>192</v>
      </c>
    </row>
    <row r="17" spans="1:31" x14ac:dyDescent="0.2">
      <c r="A17" s="36" t="s">
        <v>189</v>
      </c>
      <c r="B17" s="25" t="e">
        <f ca="1">OFFSET('NH00C-500V'!$A$5,0,MATCH(A$14,'NH00C-500V'!$B$24:$O$24,-1))</f>
        <v>#N/A</v>
      </c>
      <c r="C17" s="26">
        <f ca="1">OFFSET('NH00C-500V'!$A$5,0,MATCH(B$14,'NH00C-500V'!$B$27:$O$27,-1))</f>
        <v>6</v>
      </c>
      <c r="D17" s="26">
        <f ca="1">OFFSET('NH00C-500V'!$A$5,0,MATCH(C$14,'NH00C-500V'!$B$30:$O$30,-1))</f>
        <v>6</v>
      </c>
      <c r="E17" s="26" t="e">
        <f ca="1">MAX(B17:D17)</f>
        <v>#N/A</v>
      </c>
      <c r="F17" s="23" t="str">
        <f ca="1">IF(ISNA(E17),"-",VLOOKUP(E17,'SE-500V'!$A:$K,2,0))</f>
        <v>-</v>
      </c>
      <c r="G17" s="27" t="str">
        <f ca="1">IF(ISNA(E17),"-",VLOOKUP(E17,'SE-500V'!$A:$K,7,0))</f>
        <v>-</v>
      </c>
      <c r="H17" s="34">
        <f ca="1">OFFSET('NH1-4a-500V'!$A$5,0,MATCH(A$14,'NH1-4a-500V'!$B$24:$V$24,-1))</f>
        <v>315</v>
      </c>
      <c r="I17" s="23">
        <f ca="1">OFFSET('NH1-4a-500V'!$A$5,0,MATCH(B$14,'NH1-4a-500V'!$B$27:$V$27,-1))</f>
        <v>35</v>
      </c>
      <c r="J17" s="23">
        <f ca="1">OFFSET('NH1-4a-500V'!$A$5,0,MATCH(C$14,'NH1-4a-500V'!$B$30:$V$30,-1))</f>
        <v>35</v>
      </c>
      <c r="K17" s="26">
        <f ca="1">MAX(H17:J17)</f>
        <v>315</v>
      </c>
      <c r="L17" s="23" t="str">
        <f ca="1">IF(OR(ISNA(K17),K17&lt;315),"-",VLOOKUP(K17,'SE-500V'!$A:$K,3,0))</f>
        <v>-</v>
      </c>
      <c r="M17" s="23" t="str">
        <f ca="1">IF(OR(ISNA(K17),K17&lt;315),"-",VLOOKUP(K17,'SE-500V'!$A:$K,8,0))</f>
        <v>-</v>
      </c>
      <c r="N17" s="34">
        <f ca="1">OFFSET('NH1-4a-500V'!$A$5,0,MATCH(A$14,'NH1-4a-500V'!$B$24:$V$24,-1))</f>
        <v>315</v>
      </c>
      <c r="O17" s="23">
        <f ca="1">OFFSET('NH1-4a-500V'!$A$5,0,MATCH(B$14,'NH1-4a-500V'!$B$27:$V$27,-1))</f>
        <v>35</v>
      </c>
      <c r="P17" s="23">
        <f ca="1">OFFSET('NH1-4a-500V'!$A$5,0,MATCH(C$14,'NH1-4a-500V'!$B$30:$V$30,-1))</f>
        <v>35</v>
      </c>
      <c r="Q17" s="23">
        <f ca="1">MAX(N17:P17)</f>
        <v>315</v>
      </c>
      <c r="R17" s="23" t="str">
        <f ca="1">IF(OR(ISNA(Q17),Q17&lt;315),"-",VLOOKUP(Q17,'SE-500V'!$A:$K,4,0))</f>
        <v>R2215900</v>
      </c>
      <c r="S17" s="27" t="str">
        <f ca="1">IF(OR(ISNA(Q17),Q17&lt;315),"-",VLOOKUP(Q17,'SE-500V'!$A:$K,9,0))</f>
        <v>R2215904</v>
      </c>
      <c r="T17" s="34">
        <f ca="1">OFFSET('NH1-4a-500V'!$A$5,0,MATCH(A$14,'NH1-4a-500V'!$B$24:$V$24,-1))</f>
        <v>315</v>
      </c>
      <c r="U17" s="23">
        <f ca="1">OFFSET('NH1-4a-500V'!$A$5,0,MATCH(B$14,'NH1-4a-500V'!$B$27:$V$27,-1))</f>
        <v>35</v>
      </c>
      <c r="V17" s="23">
        <f ca="1">OFFSET('NH1-4a-500V'!$A$5,0,MATCH(C$14,'NH1-4a-500V'!$B$30:$V$30,-1))</f>
        <v>35</v>
      </c>
      <c r="W17" s="23">
        <f ca="1">MAX(T17:V17)</f>
        <v>315</v>
      </c>
      <c r="X17" s="23" t="str">
        <f ca="1">IF(OR(ISNA(W17),W17&lt;315),"-",VLOOKUP(W17,'SE-500V'!$A:$K,5,0))</f>
        <v>R3215900</v>
      </c>
      <c r="Y17" s="27" t="str">
        <f ca="1">IF(OR(ISNA(W17),W17&lt;315),"-",VLOOKUP(W17,'SE-500V'!$A:$K,10,0))</f>
        <v>R3215904</v>
      </c>
      <c r="Z17" s="34">
        <f ca="1">OFFSET('NH1-4a-500V'!$A$5,0,MATCH(A$14,'NH1-4a-500V'!$B$24:$V$24,-1))</f>
        <v>315</v>
      </c>
      <c r="AA17" s="23">
        <f ca="1">OFFSET('NH1-4a-500V'!$A$5,0,MATCH(B$14,'NH1-4a-500V'!$B$27:$V$27,-1))</f>
        <v>35</v>
      </c>
      <c r="AB17" s="23">
        <f ca="1">OFFSET('NH1-4a-500V'!$A$5,0,MATCH(C$14,'NH1-4a-500V'!$B$30:$V$30,-1))</f>
        <v>35</v>
      </c>
      <c r="AC17" s="23">
        <f ca="1">MAX(Z17:AB17)</f>
        <v>315</v>
      </c>
      <c r="AD17" s="23" t="str">
        <f ca="1">IF(OR(ISNA(AC17),AC17&lt;315),"-",VLOOKUP(AC17,'SE-500V'!$A:$K,6,0))</f>
        <v>-</v>
      </c>
      <c r="AE17" s="27" t="str">
        <f ca="1">IF(OR(ISNA(AC17),AC17&lt;315),"-",VLOOKUP(AC17,'SE-500V'!$A:$K,11,0))</f>
        <v>-</v>
      </c>
    </row>
    <row r="18" spans="1:31" x14ac:dyDescent="0.2">
      <c r="A18" s="36" t="s">
        <v>190</v>
      </c>
      <c r="B18" s="28" t="e">
        <f ca="1">OFFSET('NH00C-690V'!$A$5,0,MATCH(A$14,'NH00C-690V'!$B$24:$M$24,-1))</f>
        <v>#N/A</v>
      </c>
      <c r="C18" s="29">
        <f ca="1">OFFSET('NH00C-690V'!$A$5,0,MATCH(B$14,'NH00C-690V'!$B$27:$M$27,-1))</f>
        <v>10</v>
      </c>
      <c r="D18" s="29">
        <f ca="1">OFFSET('NH00C-690V'!$A$5,0,MATCH(C$14,'NH00C-690V'!$B$30:$M$30,-1))</f>
        <v>10</v>
      </c>
      <c r="E18" s="26" t="e">
        <f t="shared" ref="E18:E20" ca="1" si="5">MAX(B18:D18)</f>
        <v>#N/A</v>
      </c>
      <c r="F18" s="23" t="str">
        <f ca="1">IF(ISNA(E18),"-",VLOOKUP(E18,'SE-690V'!$A:$K,2,0))</f>
        <v>-</v>
      </c>
      <c r="G18" s="27" t="str">
        <f ca="1">IF(ISNA(E18),"-",VLOOKUP(E18,'SE-690V'!$A:$K,7,0))</f>
        <v>-</v>
      </c>
      <c r="H18" s="34">
        <f ca="1">OFFSET('NH1-3-690V'!$A$5,0,MATCH(A$14,'NH1-3-690V'!$B$24:$R$24,-1))</f>
        <v>250</v>
      </c>
      <c r="I18" s="23">
        <f ca="1">OFFSET('NH1-3-690V'!$A$5,0,MATCH(B$14,'NH1-3-690V'!$B$27:$R$27,-1))</f>
        <v>25</v>
      </c>
      <c r="J18" s="23">
        <f ca="1">OFFSET('NH1-3-690V'!$A$5,0,MATCH(C$14,'NH1-3-690V'!$B$30:$R$30,-1))</f>
        <v>25</v>
      </c>
      <c r="K18" s="26">
        <f t="shared" ref="K18:K20" ca="1" si="6">MAX(H18:J18)</f>
        <v>250</v>
      </c>
      <c r="L18" s="23" t="str">
        <f ca="1">IF(OR(ISNA(K18),K18&lt;315),"-",VLOOKUP(K18,'SE-690V'!$A:$K,3,0))</f>
        <v>-</v>
      </c>
      <c r="M18" s="23" t="str">
        <f ca="1">IF(OR(ISNA(K18),K18&lt;315),"-",VLOOKUP(K18,'SE-690V'!$A:$K,8,0))</f>
        <v>-</v>
      </c>
      <c r="N18" s="34">
        <f ca="1">OFFSET('NH1-3-690V'!$A$5,0,MATCH(A$14,'NH1-3-690V'!$B$24:$Q$24,-1))</f>
        <v>250</v>
      </c>
      <c r="O18" s="23">
        <f ca="1">OFFSET('NH1-3-690V'!$A$5,0,MATCH(B$14,'NH1-3-690V'!$B$27:$Q$27,-1))</f>
        <v>35</v>
      </c>
      <c r="P18" s="23">
        <f ca="1">OFFSET('NH1-3-690V'!$A$5,0,MATCH(C$14,'NH1-3-690V'!$B$30:$Q$30,-1))</f>
        <v>35</v>
      </c>
      <c r="Q18" s="23">
        <f t="shared" ref="Q18:Q20" ca="1" si="7">MAX(N18:P18)</f>
        <v>250</v>
      </c>
      <c r="R18" s="23" t="str">
        <f ca="1">IF(OR(ISNA(Q18),Q18&lt;315),"-",VLOOKUP(Q18,'SE-690V'!$A:$K,4,0))</f>
        <v>-</v>
      </c>
      <c r="S18" s="27" t="str">
        <f ca="1">IF(OR(ISNA(Q18),Q18&lt;315),"-",VLOOKUP(Q18,'SE-690V'!$A:$K,9,0))</f>
        <v>-</v>
      </c>
      <c r="T18" s="34">
        <f ca="1">OFFSET('NH1-3-690V'!$A$5,0,MATCH(A$14,'NH1-3-690V'!$B$24:$Q$24,-1))</f>
        <v>250</v>
      </c>
      <c r="U18" s="23">
        <f ca="1">OFFSET('NH1-3-690V'!$A$5,0,MATCH(B$14,'NH1-3-690V'!$B$27:$Q$27,-1))</f>
        <v>35</v>
      </c>
      <c r="V18" s="23">
        <f ca="1">OFFSET('NH1-3-690V'!$A$5,0,MATCH(C$14,'NH1-3-690V'!$B$30:$Q$30,-1))</f>
        <v>35</v>
      </c>
      <c r="W18" s="23">
        <f t="shared" ref="W18:W20" ca="1" si="8">MAX(T18:V18)</f>
        <v>250</v>
      </c>
      <c r="X18" s="23" t="str">
        <f ca="1">IF(OR(ISNA(W18),W18&lt;315),"-",VLOOKUP(W18,'SE-690V'!$A:$K,5,0))</f>
        <v>-</v>
      </c>
      <c r="Y18" s="27" t="str">
        <f ca="1">IF(OR(ISNA(W18),W18&lt;315),"-",VLOOKUP(W18,'SE-690V'!$A:$K,10,0))</f>
        <v>-</v>
      </c>
      <c r="Z18" s="34" t="s">
        <v>186</v>
      </c>
      <c r="AA18" s="23" t="s">
        <v>186</v>
      </c>
      <c r="AB18" s="23" t="s">
        <v>186</v>
      </c>
      <c r="AC18" s="23" t="s">
        <v>186</v>
      </c>
      <c r="AD18" s="23" t="s">
        <v>186</v>
      </c>
      <c r="AE18" s="27" t="s">
        <v>186</v>
      </c>
    </row>
    <row r="19" spans="1:31" x14ac:dyDescent="0.2">
      <c r="A19" s="36" t="s">
        <v>358</v>
      </c>
      <c r="B19" s="28" t="e">
        <f ca="1">OFFSET('NH00C-690V'!$A$5,0,MATCH(A$14,'NH00C-690V'!$B$24:$M$24,-1))</f>
        <v>#N/A</v>
      </c>
      <c r="C19" s="29">
        <f ca="1">OFFSET('NH00C-690V'!$A$5,0,MATCH(B$14,'NH00C-690V'!$B$27:$M$27,-1))</f>
        <v>10</v>
      </c>
      <c r="D19" s="29">
        <f ca="1">OFFSET('NH00C-690V'!$A$5,0,MATCH(C$14,'NH00C-690V'!$B$30:$M$30,-1))</f>
        <v>10</v>
      </c>
      <c r="E19" s="26" t="e">
        <f t="shared" ca="1" si="5"/>
        <v>#N/A</v>
      </c>
      <c r="F19" s="23" t="str">
        <f ca="1">IF(ISNA(E19),"-",VLOOKUP(E19,'SE-DC700V'!$A:$K,2,0))</f>
        <v>-</v>
      </c>
      <c r="G19" s="27" t="str">
        <f ca="1">IF(ISNA(E19),"-",VLOOKUP(E19,'SE-DC700V'!$A:$K,7,0))</f>
        <v>-</v>
      </c>
      <c r="H19" s="34">
        <f ca="1">OFFSET('NH1-3-690V'!$A$5,0,MATCH(A$14,'NH1-3-690V'!$B$24:$R$24,-1))</f>
        <v>250</v>
      </c>
      <c r="I19" s="23">
        <f ca="1">OFFSET('NH1-3-690V'!$A$5,0,MATCH(B$14,'NH1-3-690V'!$B$27:$R$27,-1))</f>
        <v>25</v>
      </c>
      <c r="J19" s="23">
        <f ca="1">OFFSET('NH1-3-690V'!$A$5,0,MATCH(C$14,'NH1-3-690V'!$B$30:$R$30,-1))</f>
        <v>25</v>
      </c>
      <c r="K19" s="26">
        <f t="shared" ca="1" si="6"/>
        <v>250</v>
      </c>
      <c r="L19" s="23" t="str">
        <f ca="1">IF(OR(ISNA(K19),K19&lt;315),"-",VLOOKUP(K19,'SE-DC700V'!$A:$K,3,0))</f>
        <v>-</v>
      </c>
      <c r="M19" s="23" t="str">
        <f ca="1">IF(OR(ISNA(K19),K19&lt;315),"-",VLOOKUP(K19,'SE-DC700V'!$A:$K,8,0))</f>
        <v>-</v>
      </c>
      <c r="N19" s="34">
        <f ca="1">OFFSET('NH1-3-690V'!$A$5,0,MATCH(A$14,'NH1-3-690V'!$B$24:$Q$24,-1))</f>
        <v>250</v>
      </c>
      <c r="O19" s="23">
        <f ca="1">OFFSET('NH1-3-690V'!$A$5,0,MATCH(B$14,'NH1-3-690V'!$B$27:$Q$27,-1))</f>
        <v>35</v>
      </c>
      <c r="P19" s="23">
        <f ca="1">OFFSET('NH1-3-690V'!$A$5,0,MATCH(C$14,'NH1-3-690V'!$B$30:$Q$30,-1))</f>
        <v>35</v>
      </c>
      <c r="Q19" s="23">
        <f t="shared" ca="1" si="7"/>
        <v>250</v>
      </c>
      <c r="R19" s="23" t="str">
        <f ca="1">IF(OR(ISNA(Q19),Q19&lt;315),"-",VLOOKUP(Q19,'SE-DC700V'!$A:$K,4,0))</f>
        <v>-</v>
      </c>
      <c r="S19" s="27" t="str">
        <f ca="1">IF(OR(ISNA(Q19),Q19&lt;315),"-",VLOOKUP(Q19,'SE-DC700V'!$A:$K,9,0))</f>
        <v>-</v>
      </c>
      <c r="T19" s="34">
        <f ca="1">OFFSET('NH1-3-690V'!$A$5,0,MATCH(A$14,'NH1-3-690V'!$B$24:$Q$24,-1))</f>
        <v>250</v>
      </c>
      <c r="U19" s="23">
        <f ca="1">OFFSET('NH1-3-690V'!$A$5,0,MATCH(B$14,'NH1-3-690V'!$B$27:$Q$27,-1))</f>
        <v>35</v>
      </c>
      <c r="V19" s="23">
        <f ca="1">OFFSET('NH1-3-690V'!$A$5,0,MATCH(C$14,'NH1-3-690V'!$B$30:$Q$30,-1))</f>
        <v>35</v>
      </c>
      <c r="W19" s="23">
        <f t="shared" ca="1" si="8"/>
        <v>250</v>
      </c>
      <c r="X19" s="23" t="str">
        <f ca="1">IF(OR(ISNA(W19),W19&lt;315),"-",VLOOKUP(W19,'SE-DC700V'!$A:$K,5,0))</f>
        <v>-</v>
      </c>
      <c r="Y19" s="27" t="str">
        <f ca="1">IF(OR(ISNA(W19),W19&lt;315),"-",VLOOKUP(W19,'SE-DC700V'!$A:$K,10,0))</f>
        <v>-</v>
      </c>
      <c r="Z19" s="34" t="s">
        <v>186</v>
      </c>
      <c r="AA19" s="23" t="s">
        <v>186</v>
      </c>
      <c r="AB19" s="23" t="s">
        <v>186</v>
      </c>
      <c r="AC19" s="23" t="s">
        <v>186</v>
      </c>
      <c r="AD19" s="23" t="s">
        <v>186</v>
      </c>
      <c r="AE19" s="27" t="s">
        <v>186</v>
      </c>
    </row>
    <row r="20" spans="1:31" x14ac:dyDescent="0.2">
      <c r="A20" s="36" t="s">
        <v>359</v>
      </c>
      <c r="B20" s="28" t="e">
        <f ca="1">OFFSET('NH00C-690V'!$A$5,0,MATCH(A$14,'NH00C-690V'!$B$24:$M$24,-1))</f>
        <v>#N/A</v>
      </c>
      <c r="C20" s="29">
        <f ca="1">OFFSET('NH00C-690V'!$A$5,0,MATCH(B$14,'NH00C-690V'!$B$27:$M$27,-1))</f>
        <v>10</v>
      </c>
      <c r="D20" s="29">
        <f ca="1">OFFSET('NH00C-690V'!$A$5,0,MATCH(C$14,'NH00C-690V'!$B$30:$M$30,-1))</f>
        <v>10</v>
      </c>
      <c r="E20" s="26" t="e">
        <f t="shared" ca="1" si="5"/>
        <v>#N/A</v>
      </c>
      <c r="F20" s="23" t="str">
        <f ca="1">IF(ISNA(E20),"-",VLOOKUP(E20,'SE-DC800V'!$A:$K,2,0))</f>
        <v>-</v>
      </c>
      <c r="G20" s="27" t="str">
        <f ca="1">IF(ISNA(E20),"-",VLOOKUP(E20,'SE-DC800V'!$A:$K,7,0))</f>
        <v>-</v>
      </c>
      <c r="H20" s="34">
        <f ca="1">OFFSET('NH1-3-690V'!$A$5,0,MATCH(A$14,'NH1-3-690V'!$B$24:$R$24,-1))</f>
        <v>250</v>
      </c>
      <c r="I20" s="23">
        <f ca="1">OFFSET('NH1-3-690V'!$A$5,0,MATCH(B$14,'NH1-3-690V'!$B$27:$R$27,-1))</f>
        <v>25</v>
      </c>
      <c r="J20" s="23">
        <f ca="1">OFFSET('NH1-3-690V'!$A$5,0,MATCH(C$14,'NH1-3-690V'!$B$30:$R$30,-1))</f>
        <v>25</v>
      </c>
      <c r="K20" s="26">
        <f t="shared" ca="1" si="6"/>
        <v>250</v>
      </c>
      <c r="L20" s="23" t="str">
        <f ca="1">IF(OR(ISNA(K20),K20&lt;315),"-",VLOOKUP(K20,'SE-DC800V'!$A:$K,3,0))</f>
        <v>-</v>
      </c>
      <c r="M20" s="23" t="str">
        <f ca="1">IF(OR(ISNA(K20),K20&lt;315),"-",VLOOKUP(K20,'SE-DC800V'!$A:$K,8,0))</f>
        <v>-</v>
      </c>
      <c r="N20" s="34">
        <f ca="1">OFFSET('NH1-3-690V'!$A$5,0,MATCH(A$14,'NH1-3-690V'!$B$24:$Q$24,-1))</f>
        <v>250</v>
      </c>
      <c r="O20" s="23">
        <f ca="1">OFFSET('NH1-3-690V'!$A$5,0,MATCH(B$14,'NH1-3-690V'!$B$27:$Q$27,-1))</f>
        <v>35</v>
      </c>
      <c r="P20" s="23">
        <f ca="1">OFFSET('NH1-3-690V'!$A$5,0,MATCH(C$14,'NH1-3-690V'!$B$30:$Q$30,-1))</f>
        <v>35</v>
      </c>
      <c r="Q20" s="23">
        <f t="shared" ca="1" si="7"/>
        <v>250</v>
      </c>
      <c r="R20" s="23" t="str">
        <f ca="1">IF(OR(ISNA(Q20),Q20&lt;315),"-",VLOOKUP(Q20,'SE-DC800V'!$A:$K,4,0))</f>
        <v>-</v>
      </c>
      <c r="S20" s="27" t="str">
        <f ca="1">IF(OR(ISNA(Q20),Q20&lt;315),"-",VLOOKUP(Q20,'SE-DC800V'!$A:$K,9,0))</f>
        <v>-</v>
      </c>
      <c r="T20" s="34">
        <f ca="1">OFFSET('NH1-3-690V'!$A$5,0,MATCH(A$14,'NH1-3-690V'!$B$24:$Q$24,-1))</f>
        <v>250</v>
      </c>
      <c r="U20" s="23">
        <f ca="1">OFFSET('NH1-3-690V'!$A$5,0,MATCH(B$14,'NH1-3-690V'!$B$27:$Q$27,-1))</f>
        <v>35</v>
      </c>
      <c r="V20" s="23">
        <f ca="1">OFFSET('NH1-3-690V'!$A$5,0,MATCH(C$14,'NH1-3-690V'!$B$30:$Q$30,-1))</f>
        <v>35</v>
      </c>
      <c r="W20" s="23">
        <f t="shared" ca="1" si="8"/>
        <v>250</v>
      </c>
      <c r="X20" s="23" t="str">
        <f ca="1">IF(OR(ISNA(W20),W20&lt;315),"-",VLOOKUP(W20,'SE-DC800V'!$A:$K,5,0))</f>
        <v>-</v>
      </c>
      <c r="Y20" s="27" t="str">
        <f ca="1">IF(OR(ISNA(W20),W20&lt;315),"-",VLOOKUP(W20,'SE-DC800V'!$A:$K,10,0))</f>
        <v>-</v>
      </c>
      <c r="Z20" s="34" t="s">
        <v>186</v>
      </c>
      <c r="AA20" s="23" t="s">
        <v>186</v>
      </c>
      <c r="AB20" s="23" t="s">
        <v>186</v>
      </c>
      <c r="AC20" s="23" t="s">
        <v>186</v>
      </c>
      <c r="AD20" s="23" t="s">
        <v>186</v>
      </c>
      <c r="AE20" s="27" t="s">
        <v>186</v>
      </c>
    </row>
    <row r="21" spans="1:31" ht="13.5" thickBot="1" x14ac:dyDescent="0.25">
      <c r="A21" s="37" t="s">
        <v>186</v>
      </c>
      <c r="B21" s="30" t="s">
        <v>186</v>
      </c>
      <c r="C21" s="31" t="s">
        <v>186</v>
      </c>
      <c r="D21" s="31" t="s">
        <v>186</v>
      </c>
      <c r="E21" s="31" t="s">
        <v>186</v>
      </c>
      <c r="F21" s="32" t="s">
        <v>186</v>
      </c>
      <c r="G21" s="33" t="s">
        <v>186</v>
      </c>
      <c r="H21" s="30" t="s">
        <v>186</v>
      </c>
      <c r="I21" s="31" t="s">
        <v>186</v>
      </c>
      <c r="J21" s="31" t="s">
        <v>186</v>
      </c>
      <c r="K21" s="31" t="s">
        <v>186</v>
      </c>
      <c r="L21" s="32" t="s">
        <v>186</v>
      </c>
      <c r="M21" s="32" t="s">
        <v>186</v>
      </c>
      <c r="N21" s="30" t="s">
        <v>186</v>
      </c>
      <c r="O21" s="31" t="s">
        <v>186</v>
      </c>
      <c r="P21" s="31" t="s">
        <v>186</v>
      </c>
      <c r="Q21" s="31" t="s">
        <v>186</v>
      </c>
      <c r="R21" s="32" t="s">
        <v>186</v>
      </c>
      <c r="S21" s="33" t="s">
        <v>186</v>
      </c>
      <c r="T21" s="30" t="s">
        <v>186</v>
      </c>
      <c r="U21" s="31" t="s">
        <v>186</v>
      </c>
      <c r="V21" s="31" t="s">
        <v>186</v>
      </c>
      <c r="W21" s="31" t="s">
        <v>186</v>
      </c>
      <c r="X21" s="32" t="s">
        <v>186</v>
      </c>
      <c r="Y21" s="33" t="s">
        <v>186</v>
      </c>
      <c r="Z21" s="30" t="s">
        <v>186</v>
      </c>
      <c r="AA21" s="32" t="s">
        <v>186</v>
      </c>
      <c r="AB21" s="32" t="s">
        <v>186</v>
      </c>
      <c r="AC21" s="32" t="s">
        <v>186</v>
      </c>
      <c r="AD21" s="32" t="s">
        <v>186</v>
      </c>
      <c r="AE21" s="33" t="s">
        <v>186</v>
      </c>
    </row>
  </sheetData>
  <mergeCells count="10">
    <mergeCell ref="Z4:AE4"/>
    <mergeCell ref="B15:G15"/>
    <mergeCell ref="H15:M15"/>
    <mergeCell ref="N15:S15"/>
    <mergeCell ref="T15:Y15"/>
    <mergeCell ref="Z15:AE15"/>
    <mergeCell ref="B4:G4"/>
    <mergeCell ref="H4:M4"/>
    <mergeCell ref="N4:S4"/>
    <mergeCell ref="T4:Y4"/>
  </mergeCells>
  <phoneticPr fontId="0"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3:O30"/>
  <sheetViews>
    <sheetView topLeftCell="A4" workbookViewId="0">
      <selection activeCell="B26" sqref="B26:K26"/>
    </sheetView>
  </sheetViews>
  <sheetFormatPr baseColWidth="10" defaultColWidth="9.140625" defaultRowHeight="12.75" x14ac:dyDescent="0.2"/>
  <sheetData>
    <row r="3" spans="1:15" x14ac:dyDescent="0.2">
      <c r="A3" t="s">
        <v>0</v>
      </c>
    </row>
    <row r="5" spans="1:15" x14ac:dyDescent="0.2">
      <c r="A5" t="s">
        <v>1</v>
      </c>
      <c r="B5" s="4">
        <v>160</v>
      </c>
      <c r="C5" s="4">
        <v>125</v>
      </c>
      <c r="D5" s="4">
        <v>100</v>
      </c>
      <c r="E5" s="4">
        <v>80</v>
      </c>
      <c r="F5" s="4">
        <v>63</v>
      </c>
      <c r="G5" s="4">
        <v>50</v>
      </c>
      <c r="H5" s="4">
        <v>40</v>
      </c>
      <c r="I5" s="4">
        <v>35</v>
      </c>
      <c r="J5" s="4">
        <v>32</v>
      </c>
      <c r="K5" s="4">
        <v>25</v>
      </c>
      <c r="L5" s="4">
        <v>20</v>
      </c>
      <c r="M5" s="4">
        <v>16</v>
      </c>
      <c r="N5" s="4">
        <v>10</v>
      </c>
      <c r="O5" s="4">
        <v>6</v>
      </c>
    </row>
    <row r="6" spans="1:15" x14ac:dyDescent="0.2">
      <c r="A6">
        <v>10</v>
      </c>
      <c r="B6">
        <v>355</v>
      </c>
      <c r="C6">
        <v>300</v>
      </c>
      <c r="D6">
        <v>235</v>
      </c>
      <c r="E6">
        <v>190</v>
      </c>
      <c r="F6">
        <v>135</v>
      </c>
      <c r="G6">
        <v>115</v>
      </c>
      <c r="H6">
        <v>105</v>
      </c>
      <c r="I6">
        <v>86</v>
      </c>
      <c r="J6">
        <v>73</v>
      </c>
      <c r="K6">
        <v>42</v>
      </c>
      <c r="L6">
        <v>33</v>
      </c>
      <c r="M6">
        <v>26</v>
      </c>
      <c r="N6">
        <v>23.5</v>
      </c>
      <c r="O6">
        <v>22</v>
      </c>
    </row>
    <row r="7" spans="1:15" x14ac:dyDescent="0.2">
      <c r="A7">
        <v>60</v>
      </c>
      <c r="B7">
        <v>255</v>
      </c>
      <c r="C7">
        <v>220</v>
      </c>
      <c r="D7">
        <v>175</v>
      </c>
      <c r="E7">
        <v>130</v>
      </c>
      <c r="F7">
        <v>107</v>
      </c>
      <c r="G7">
        <v>83</v>
      </c>
      <c r="H7">
        <v>75</v>
      </c>
      <c r="I7">
        <v>62.5</v>
      </c>
      <c r="J7">
        <v>53</v>
      </c>
      <c r="K7">
        <v>36</v>
      </c>
      <c r="L7">
        <v>30</v>
      </c>
      <c r="M7">
        <v>23</v>
      </c>
      <c r="N7">
        <v>22</v>
      </c>
      <c r="O7">
        <v>21</v>
      </c>
    </row>
    <row r="8" spans="1:15" x14ac:dyDescent="0.2">
      <c r="A8">
        <v>120</v>
      </c>
      <c r="B8">
        <v>230</v>
      </c>
      <c r="C8">
        <v>200</v>
      </c>
      <c r="D8">
        <v>155</v>
      </c>
      <c r="E8">
        <v>121</v>
      </c>
      <c r="F8">
        <v>96</v>
      </c>
      <c r="G8">
        <v>75</v>
      </c>
      <c r="H8">
        <v>68</v>
      </c>
      <c r="I8">
        <v>56</v>
      </c>
      <c r="J8">
        <v>50</v>
      </c>
      <c r="K8">
        <v>34.5</v>
      </c>
      <c r="L8">
        <v>29</v>
      </c>
      <c r="M8">
        <v>22.5</v>
      </c>
      <c r="N8">
        <v>21.5</v>
      </c>
      <c r="O8">
        <v>20</v>
      </c>
    </row>
    <row r="9" spans="1:15" x14ac:dyDescent="0.2">
      <c r="A9">
        <v>180</v>
      </c>
      <c r="B9">
        <v>223</v>
      </c>
      <c r="C9">
        <v>190</v>
      </c>
      <c r="D9">
        <v>145</v>
      </c>
      <c r="E9">
        <v>119</v>
      </c>
      <c r="F9">
        <v>92</v>
      </c>
      <c r="G9">
        <v>71</v>
      </c>
      <c r="H9">
        <v>63</v>
      </c>
      <c r="I9">
        <v>53</v>
      </c>
      <c r="J9">
        <v>46</v>
      </c>
      <c r="K9">
        <v>34</v>
      </c>
      <c r="L9">
        <v>28</v>
      </c>
      <c r="M9">
        <v>22</v>
      </c>
      <c r="N9">
        <v>21</v>
      </c>
      <c r="O9">
        <v>19.5</v>
      </c>
    </row>
    <row r="10" spans="1:15" x14ac:dyDescent="0.2">
      <c r="A10">
        <v>240</v>
      </c>
      <c r="B10">
        <v>220</v>
      </c>
      <c r="C10">
        <v>180</v>
      </c>
      <c r="D10">
        <v>140</v>
      </c>
      <c r="E10">
        <v>118</v>
      </c>
      <c r="F10">
        <v>90</v>
      </c>
      <c r="G10">
        <v>69</v>
      </c>
      <c r="H10">
        <v>62</v>
      </c>
      <c r="I10">
        <v>52</v>
      </c>
      <c r="J10">
        <v>44</v>
      </c>
      <c r="K10">
        <v>33.5</v>
      </c>
      <c r="L10">
        <v>27.5</v>
      </c>
      <c r="M10">
        <v>22</v>
      </c>
      <c r="N10">
        <v>20.5</v>
      </c>
      <c r="O10">
        <v>19</v>
      </c>
    </row>
    <row r="11" spans="1:15" x14ac:dyDescent="0.2">
      <c r="A11">
        <v>300</v>
      </c>
      <c r="B11">
        <v>217</v>
      </c>
      <c r="C11">
        <v>175</v>
      </c>
      <c r="D11">
        <v>138</v>
      </c>
      <c r="E11">
        <v>115</v>
      </c>
      <c r="F11">
        <v>87</v>
      </c>
      <c r="G11">
        <v>67</v>
      </c>
      <c r="H11">
        <v>61</v>
      </c>
      <c r="I11">
        <v>51</v>
      </c>
      <c r="J11">
        <v>43</v>
      </c>
      <c r="K11">
        <v>33</v>
      </c>
      <c r="L11">
        <v>27</v>
      </c>
      <c r="M11">
        <v>22</v>
      </c>
      <c r="N11">
        <v>20</v>
      </c>
      <c r="O11">
        <v>18</v>
      </c>
    </row>
    <row r="12" spans="1:15" x14ac:dyDescent="0.2">
      <c r="A12">
        <v>600</v>
      </c>
      <c r="B12">
        <v>208</v>
      </c>
      <c r="C12">
        <v>160</v>
      </c>
      <c r="D12">
        <v>130</v>
      </c>
      <c r="E12">
        <v>110</v>
      </c>
      <c r="F12">
        <v>82</v>
      </c>
      <c r="G12">
        <v>63</v>
      </c>
      <c r="H12">
        <v>57</v>
      </c>
      <c r="I12">
        <v>47.5</v>
      </c>
      <c r="J12">
        <v>41.5</v>
      </c>
      <c r="K12">
        <v>32</v>
      </c>
      <c r="L12">
        <v>25.5</v>
      </c>
      <c r="M12">
        <v>21.5</v>
      </c>
      <c r="N12">
        <v>19.5</v>
      </c>
      <c r="O12">
        <v>17</v>
      </c>
    </row>
    <row r="13" spans="1:15" x14ac:dyDescent="0.2">
      <c r="A13">
        <v>900</v>
      </c>
      <c r="B13">
        <v>202</v>
      </c>
      <c r="C13">
        <v>155</v>
      </c>
      <c r="D13">
        <v>129</v>
      </c>
      <c r="E13">
        <v>108</v>
      </c>
      <c r="F13">
        <v>80</v>
      </c>
      <c r="G13">
        <v>62</v>
      </c>
      <c r="H13">
        <v>55</v>
      </c>
      <c r="I13">
        <v>46.5</v>
      </c>
      <c r="J13">
        <v>41</v>
      </c>
      <c r="K13">
        <v>32</v>
      </c>
      <c r="L13">
        <v>25</v>
      </c>
      <c r="M13">
        <v>21.5</v>
      </c>
      <c r="N13">
        <v>19</v>
      </c>
      <c r="O13">
        <v>17</v>
      </c>
    </row>
    <row r="14" spans="1:15" x14ac:dyDescent="0.2">
      <c r="A14">
        <v>1200</v>
      </c>
      <c r="B14">
        <v>200</v>
      </c>
      <c r="C14">
        <v>152</v>
      </c>
      <c r="D14">
        <v>128</v>
      </c>
      <c r="E14">
        <v>105</v>
      </c>
      <c r="F14">
        <v>79</v>
      </c>
      <c r="G14">
        <v>61.5</v>
      </c>
      <c r="H14">
        <v>55</v>
      </c>
      <c r="I14">
        <v>45</v>
      </c>
      <c r="J14">
        <v>40</v>
      </c>
      <c r="K14">
        <v>32</v>
      </c>
      <c r="L14">
        <v>25</v>
      </c>
      <c r="M14">
        <v>21.5</v>
      </c>
      <c r="N14">
        <v>18.5</v>
      </c>
      <c r="O14">
        <v>17</v>
      </c>
    </row>
    <row r="15" spans="1:15" x14ac:dyDescent="0.2">
      <c r="A15">
        <v>1800</v>
      </c>
      <c r="B15">
        <v>199</v>
      </c>
      <c r="C15">
        <v>150</v>
      </c>
      <c r="D15">
        <v>126</v>
      </c>
      <c r="E15">
        <v>102</v>
      </c>
      <c r="F15">
        <v>77</v>
      </c>
      <c r="G15">
        <v>61</v>
      </c>
      <c r="H15">
        <v>53.5</v>
      </c>
      <c r="I15">
        <v>44.5</v>
      </c>
      <c r="J15">
        <v>39.5</v>
      </c>
      <c r="K15">
        <v>32</v>
      </c>
      <c r="L15">
        <v>24.5</v>
      </c>
      <c r="M15">
        <v>21</v>
      </c>
      <c r="N15">
        <v>18.5</v>
      </c>
      <c r="O15">
        <v>17</v>
      </c>
    </row>
    <row r="16" spans="1:15" x14ac:dyDescent="0.2">
      <c r="A16">
        <v>2400</v>
      </c>
      <c r="B16">
        <v>197</v>
      </c>
      <c r="C16">
        <v>150</v>
      </c>
      <c r="D16">
        <v>126</v>
      </c>
      <c r="E16">
        <v>100</v>
      </c>
      <c r="F16">
        <v>77</v>
      </c>
      <c r="G16">
        <v>60</v>
      </c>
      <c r="H16">
        <v>53.5</v>
      </c>
      <c r="I16">
        <v>44</v>
      </c>
      <c r="J16">
        <v>39</v>
      </c>
      <c r="K16">
        <v>32</v>
      </c>
      <c r="L16">
        <v>24.5</v>
      </c>
      <c r="M16">
        <v>21</v>
      </c>
      <c r="N16">
        <v>18.5</v>
      </c>
      <c r="O16">
        <v>16.5</v>
      </c>
    </row>
    <row r="17" spans="1:15" x14ac:dyDescent="0.2">
      <c r="A17">
        <v>3000</v>
      </c>
      <c r="B17">
        <v>195</v>
      </c>
      <c r="C17">
        <v>149</v>
      </c>
      <c r="D17">
        <v>125</v>
      </c>
      <c r="E17">
        <v>100</v>
      </c>
      <c r="F17">
        <v>76</v>
      </c>
      <c r="G17">
        <v>60</v>
      </c>
      <c r="H17">
        <v>53</v>
      </c>
      <c r="I17">
        <v>44</v>
      </c>
      <c r="J17">
        <v>39</v>
      </c>
      <c r="K17">
        <v>31.5</v>
      </c>
      <c r="L17">
        <v>24</v>
      </c>
      <c r="M17">
        <v>21</v>
      </c>
      <c r="N17">
        <v>18.5</v>
      </c>
      <c r="O17">
        <v>16.5</v>
      </c>
    </row>
    <row r="18" spans="1:15" x14ac:dyDescent="0.2">
      <c r="A18">
        <v>3600</v>
      </c>
      <c r="B18">
        <v>193</v>
      </c>
      <c r="C18">
        <v>148</v>
      </c>
      <c r="D18">
        <v>125</v>
      </c>
      <c r="E18">
        <v>100</v>
      </c>
      <c r="F18">
        <v>75</v>
      </c>
      <c r="G18">
        <v>60</v>
      </c>
      <c r="H18">
        <v>53</v>
      </c>
      <c r="I18">
        <v>43.5</v>
      </c>
      <c r="J18">
        <v>38</v>
      </c>
      <c r="K18">
        <v>31.5</v>
      </c>
      <c r="L18">
        <v>24</v>
      </c>
      <c r="M18">
        <v>21</v>
      </c>
      <c r="N18">
        <v>18</v>
      </c>
      <c r="O18">
        <v>16.5</v>
      </c>
    </row>
    <row r="19" spans="1:15" x14ac:dyDescent="0.2">
      <c r="A19">
        <v>5400</v>
      </c>
      <c r="B19">
        <v>190</v>
      </c>
      <c r="C19">
        <v>145</v>
      </c>
      <c r="D19">
        <v>123</v>
      </c>
      <c r="E19">
        <v>97</v>
      </c>
      <c r="F19">
        <v>74</v>
      </c>
      <c r="G19">
        <v>58</v>
      </c>
      <c r="H19">
        <v>52.5</v>
      </c>
      <c r="I19">
        <v>43</v>
      </c>
      <c r="J19">
        <v>37.5</v>
      </c>
      <c r="K19">
        <v>31.5</v>
      </c>
      <c r="L19">
        <v>24</v>
      </c>
      <c r="M19">
        <v>21</v>
      </c>
      <c r="N19">
        <v>18</v>
      </c>
      <c r="O19">
        <v>16</v>
      </c>
    </row>
    <row r="20" spans="1:15" x14ac:dyDescent="0.2">
      <c r="A20">
        <v>7200</v>
      </c>
      <c r="B20">
        <v>188</v>
      </c>
      <c r="C20">
        <v>144</v>
      </c>
      <c r="D20">
        <v>122</v>
      </c>
      <c r="E20">
        <v>96</v>
      </c>
      <c r="F20">
        <v>74</v>
      </c>
      <c r="G20">
        <v>58</v>
      </c>
      <c r="H20">
        <v>52</v>
      </c>
      <c r="I20">
        <v>43</v>
      </c>
      <c r="J20">
        <v>37</v>
      </c>
      <c r="K20">
        <v>31</v>
      </c>
      <c r="L20">
        <v>24</v>
      </c>
      <c r="M20">
        <v>20</v>
      </c>
      <c r="N20">
        <v>17.5</v>
      </c>
      <c r="O20">
        <v>16</v>
      </c>
    </row>
    <row r="21" spans="1:15" x14ac:dyDescent="0.2">
      <c r="A21">
        <v>9000</v>
      </c>
      <c r="B21">
        <v>185</v>
      </c>
      <c r="C21">
        <v>143</v>
      </c>
      <c r="D21">
        <v>121</v>
      </c>
      <c r="E21">
        <v>96</v>
      </c>
      <c r="F21">
        <v>73</v>
      </c>
      <c r="G21">
        <v>58</v>
      </c>
      <c r="H21">
        <v>52</v>
      </c>
      <c r="I21">
        <v>42.5</v>
      </c>
      <c r="J21">
        <v>36.5</v>
      </c>
      <c r="K21">
        <v>30.5</v>
      </c>
      <c r="L21">
        <v>23.5</v>
      </c>
      <c r="M21">
        <v>20</v>
      </c>
      <c r="N21">
        <v>17.5</v>
      </c>
      <c r="O21">
        <v>15.5</v>
      </c>
    </row>
    <row r="23" spans="1:15" x14ac:dyDescent="0.2">
      <c r="A23">
        <f>USV!J22*60</f>
        <v>900</v>
      </c>
      <c r="B23" s="3">
        <f ca="1">(OFFSET(B$5,IF($A23&gt;$A$21,0,$A24),0)+OFFSET(B$5,IF($A23&gt;$A$21,0,$A24+1),0))/2</f>
        <v>201</v>
      </c>
      <c r="C23" s="3">
        <f t="shared" ref="C23:O23" ca="1" si="0">(OFFSET(C$5,IF($A23&gt;$A$21,0,$A24),0)+OFFSET(C$5,IF($A23&gt;$A$21,0,$A24+1),0))/2</f>
        <v>153.5</v>
      </c>
      <c r="D23" s="3">
        <f t="shared" ca="1" si="0"/>
        <v>128.5</v>
      </c>
      <c r="E23" s="3">
        <f t="shared" ca="1" si="0"/>
        <v>106.5</v>
      </c>
      <c r="F23" s="3">
        <f t="shared" ca="1" si="0"/>
        <v>79.5</v>
      </c>
      <c r="G23" s="3">
        <f t="shared" ca="1" si="0"/>
        <v>61.75</v>
      </c>
      <c r="H23" s="3">
        <f t="shared" ca="1" si="0"/>
        <v>55</v>
      </c>
      <c r="I23" s="3">
        <f t="shared" ca="1" si="0"/>
        <v>45.75</v>
      </c>
      <c r="J23" s="3">
        <f t="shared" ca="1" si="0"/>
        <v>40.5</v>
      </c>
      <c r="K23" s="3">
        <f t="shared" ca="1" si="0"/>
        <v>32</v>
      </c>
      <c r="L23" s="3">
        <f t="shared" ca="1" si="0"/>
        <v>25</v>
      </c>
      <c r="M23" s="3">
        <f t="shared" ca="1" si="0"/>
        <v>21.5</v>
      </c>
      <c r="N23" s="3">
        <f t="shared" ca="1" si="0"/>
        <v>18.75</v>
      </c>
      <c r="O23" s="3">
        <f t="shared" ca="1" si="0"/>
        <v>17</v>
      </c>
    </row>
    <row r="24" spans="1:15" x14ac:dyDescent="0.2">
      <c r="A24" s="2">
        <f>MATCH($A23,$A$6:A21,1)</f>
        <v>8</v>
      </c>
      <c r="B24" s="3">
        <f ca="1">B23*IF($A23&gt;$A$21,1,0.85)</f>
        <v>170.85</v>
      </c>
      <c r="C24" s="3">
        <f t="shared" ref="C24:O24" ca="1" si="1">C23*IF($A23&gt;$A$21,1,0.85)</f>
        <v>130.47499999999999</v>
      </c>
      <c r="D24" s="3">
        <f t="shared" ca="1" si="1"/>
        <v>109.22499999999999</v>
      </c>
      <c r="E24" s="3">
        <f t="shared" ca="1" si="1"/>
        <v>90.524999999999991</v>
      </c>
      <c r="F24" s="3">
        <f t="shared" ca="1" si="1"/>
        <v>67.575000000000003</v>
      </c>
      <c r="G24" s="3">
        <f t="shared" ca="1" si="1"/>
        <v>52.487499999999997</v>
      </c>
      <c r="H24" s="3">
        <f t="shared" ca="1" si="1"/>
        <v>46.75</v>
      </c>
      <c r="I24" s="3">
        <f t="shared" ca="1" si="1"/>
        <v>38.887499999999996</v>
      </c>
      <c r="J24" s="3">
        <f t="shared" ca="1" si="1"/>
        <v>34.424999999999997</v>
      </c>
      <c r="K24" s="3">
        <f t="shared" ca="1" si="1"/>
        <v>27.2</v>
      </c>
      <c r="L24" s="3">
        <f t="shared" ca="1" si="1"/>
        <v>21.25</v>
      </c>
      <c r="M24" s="3">
        <f t="shared" ca="1" si="1"/>
        <v>18.274999999999999</v>
      </c>
      <c r="N24" s="3">
        <f t="shared" ca="1" si="1"/>
        <v>15.9375</v>
      </c>
      <c r="O24" s="3">
        <f t="shared" ca="1" si="1"/>
        <v>14.45</v>
      </c>
    </row>
    <row r="26" spans="1:15" x14ac:dyDescent="0.2">
      <c r="A26">
        <f>USV!M24*60</f>
        <v>600</v>
      </c>
      <c r="B26" s="3">
        <f ca="1">(OFFSET(B$5,IF($A26&gt;$A$21,0,$A27),0)+OFFSET(B$5,IF($A26&gt;$A$21,0,$A27+1),0))/2</f>
        <v>205</v>
      </c>
      <c r="C26" s="3">
        <f t="shared" ref="C26" ca="1" si="2">(OFFSET(C$5,IF($A26&gt;$A$21,0,$A27),0)+OFFSET(C$5,IF($A26&gt;$A$21,0,$A27+1),0))/2</f>
        <v>157.5</v>
      </c>
      <c r="D26" s="3">
        <f t="shared" ref="D26" ca="1" si="3">(OFFSET(D$5,IF($A26&gt;$A$21,0,$A27),0)+OFFSET(D$5,IF($A26&gt;$A$21,0,$A27+1),0))/2</f>
        <v>129.5</v>
      </c>
      <c r="E26" s="3">
        <f t="shared" ref="E26" ca="1" si="4">(OFFSET(E$5,IF($A26&gt;$A$21,0,$A27),0)+OFFSET(E$5,IF($A26&gt;$A$21,0,$A27+1),0))/2</f>
        <v>109</v>
      </c>
      <c r="F26" s="3">
        <f t="shared" ref="F26" ca="1" si="5">(OFFSET(F$5,IF($A26&gt;$A$21,0,$A27),0)+OFFSET(F$5,IF($A26&gt;$A$21,0,$A27+1),0))/2</f>
        <v>81</v>
      </c>
      <c r="G26" s="3">
        <f t="shared" ref="G26" ca="1" si="6">(OFFSET(G$5,IF($A26&gt;$A$21,0,$A27),0)+OFFSET(G$5,IF($A26&gt;$A$21,0,$A27+1),0))/2</f>
        <v>62.5</v>
      </c>
      <c r="H26" s="3">
        <f t="shared" ref="H26" ca="1" si="7">(OFFSET(H$5,IF($A26&gt;$A$21,0,$A27),0)+OFFSET(H$5,IF($A26&gt;$A$21,0,$A27+1),0))/2</f>
        <v>56</v>
      </c>
      <c r="I26" s="3">
        <f t="shared" ref="I26" ca="1" si="8">(OFFSET(I$5,IF($A26&gt;$A$21,0,$A27),0)+OFFSET(I$5,IF($A26&gt;$A$21,0,$A27+1),0))/2</f>
        <v>47</v>
      </c>
      <c r="J26" s="3">
        <f t="shared" ref="J26" ca="1" si="9">(OFFSET(J$5,IF($A26&gt;$A$21,0,$A27),0)+OFFSET(J$5,IF($A26&gt;$A$21,0,$A27+1),0))/2</f>
        <v>41.25</v>
      </c>
      <c r="K26" s="3">
        <f t="shared" ref="K26" ca="1" si="10">(OFFSET(K$5,IF($A26&gt;$A$21,0,$A27),0)+OFFSET(K$5,IF($A26&gt;$A$21,0,$A27+1),0))/2</f>
        <v>32</v>
      </c>
      <c r="L26" s="3">
        <f t="shared" ref="L26" ca="1" si="11">(OFFSET(L$5,IF($A26&gt;$A$21,0,$A27),0)+OFFSET(L$5,IF($A26&gt;$A$21,0,$A27+1),0))/2</f>
        <v>25.25</v>
      </c>
      <c r="M26" s="3">
        <f t="shared" ref="M26" ca="1" si="12">(OFFSET(M$5,IF($A26&gt;$A$21,0,$A27),0)+OFFSET(M$5,IF($A26&gt;$A$21,0,$A27+1),0))/2</f>
        <v>21.5</v>
      </c>
      <c r="N26" s="3">
        <f t="shared" ref="N26" ca="1" si="13">(OFFSET(N$5,IF($A26&gt;$A$21,0,$A27),0)+OFFSET(N$5,IF($A26&gt;$A$21,0,$A27+1),0))/2</f>
        <v>19.25</v>
      </c>
      <c r="O26" s="3">
        <f t="shared" ref="O26" ca="1" si="14">(OFFSET(O$5,IF($A26&gt;$A$21,0,$A27),0)+OFFSET(O$5,IF($A26&gt;$A$21,0,$A27+1),0))/2</f>
        <v>17</v>
      </c>
    </row>
    <row r="27" spans="1:15" x14ac:dyDescent="0.2">
      <c r="A27" s="2">
        <f>MATCH($A26,$A$6:A24,1)</f>
        <v>7</v>
      </c>
      <c r="B27" s="3">
        <f ca="1">B26*IF($A26&gt;$A$21,1,0.85)</f>
        <v>174.25</v>
      </c>
      <c r="C27" s="3">
        <f t="shared" ref="C27" ca="1" si="15">C26*IF($A26&gt;$A$21,1,0.85)</f>
        <v>133.875</v>
      </c>
      <c r="D27" s="3">
        <f t="shared" ref="D27" ca="1" si="16">D26*IF($A26&gt;$A$21,1,0.85)</f>
        <v>110.075</v>
      </c>
      <c r="E27" s="3">
        <f t="shared" ref="E27" ca="1" si="17">E26*IF($A26&gt;$A$21,1,0.85)</f>
        <v>92.649999999999991</v>
      </c>
      <c r="F27" s="3">
        <f t="shared" ref="F27" ca="1" si="18">F26*IF($A26&gt;$A$21,1,0.85)</f>
        <v>68.849999999999994</v>
      </c>
      <c r="G27" s="3">
        <f t="shared" ref="G27" ca="1" si="19">G26*IF($A26&gt;$A$21,1,0.85)</f>
        <v>53.125</v>
      </c>
      <c r="H27" s="3">
        <f t="shared" ref="H27" ca="1" si="20">H26*IF($A26&gt;$A$21,1,0.85)</f>
        <v>47.6</v>
      </c>
      <c r="I27" s="3">
        <f t="shared" ref="I27" ca="1" si="21">I26*IF($A26&gt;$A$21,1,0.85)</f>
        <v>39.949999999999996</v>
      </c>
      <c r="J27" s="3">
        <f t="shared" ref="J27" ca="1" si="22">J26*IF($A26&gt;$A$21,1,0.85)</f>
        <v>35.0625</v>
      </c>
      <c r="K27" s="3">
        <f t="shared" ref="K27" ca="1" si="23">K26*IF($A26&gt;$A$21,1,0.85)</f>
        <v>27.2</v>
      </c>
      <c r="L27" s="3">
        <f t="shared" ref="L27" ca="1" si="24">L26*IF($A26&gt;$A$21,1,0.85)</f>
        <v>21.462499999999999</v>
      </c>
      <c r="M27" s="3">
        <f t="shared" ref="M27" ca="1" si="25">M26*IF($A26&gt;$A$21,1,0.85)</f>
        <v>18.274999999999999</v>
      </c>
      <c r="N27" s="3">
        <f t="shared" ref="N27" ca="1" si="26">N26*IF($A26&gt;$A$21,1,0.85)</f>
        <v>16.362500000000001</v>
      </c>
      <c r="O27" s="3">
        <f t="shared" ref="O27" ca="1" si="27">O26*IF($A26&gt;$A$21,1,0.85)</f>
        <v>14.45</v>
      </c>
    </row>
    <row r="29" spans="1:15" x14ac:dyDescent="0.2">
      <c r="A29">
        <f>USV!O24*60</f>
        <v>60</v>
      </c>
      <c r="B29" s="3">
        <f ca="1">(OFFSET(B$5,IF($A29&gt;$A$21,0,$A30),0)+OFFSET(B$5,IF($A29&gt;$A$21,0,$A30+1),0))/2</f>
        <v>242.5</v>
      </c>
      <c r="C29" s="3">
        <f t="shared" ref="C29" ca="1" si="28">(OFFSET(C$5,IF($A29&gt;$A$21,0,$A30),0)+OFFSET(C$5,IF($A29&gt;$A$21,0,$A30+1),0))/2</f>
        <v>210</v>
      </c>
      <c r="D29" s="3">
        <f t="shared" ref="D29" ca="1" si="29">(OFFSET(D$5,IF($A29&gt;$A$21,0,$A30),0)+OFFSET(D$5,IF($A29&gt;$A$21,0,$A30+1),0))/2</f>
        <v>165</v>
      </c>
      <c r="E29" s="3">
        <f t="shared" ref="E29" ca="1" si="30">(OFFSET(E$5,IF($A29&gt;$A$21,0,$A30),0)+OFFSET(E$5,IF($A29&gt;$A$21,0,$A30+1),0))/2</f>
        <v>125.5</v>
      </c>
      <c r="F29" s="3">
        <f t="shared" ref="F29" ca="1" si="31">(OFFSET(F$5,IF($A29&gt;$A$21,0,$A30),0)+OFFSET(F$5,IF($A29&gt;$A$21,0,$A30+1),0))/2</f>
        <v>101.5</v>
      </c>
      <c r="G29" s="3">
        <f t="shared" ref="G29" ca="1" si="32">(OFFSET(G$5,IF($A29&gt;$A$21,0,$A30),0)+OFFSET(G$5,IF($A29&gt;$A$21,0,$A30+1),0))/2</f>
        <v>79</v>
      </c>
      <c r="H29" s="3">
        <f t="shared" ref="H29" ca="1" si="33">(OFFSET(H$5,IF($A29&gt;$A$21,0,$A30),0)+OFFSET(H$5,IF($A29&gt;$A$21,0,$A30+1),0))/2</f>
        <v>71.5</v>
      </c>
      <c r="I29" s="3">
        <f t="shared" ref="I29" ca="1" si="34">(OFFSET(I$5,IF($A29&gt;$A$21,0,$A30),0)+OFFSET(I$5,IF($A29&gt;$A$21,0,$A30+1),0))/2</f>
        <v>59.25</v>
      </c>
      <c r="J29" s="3">
        <f t="shared" ref="J29" ca="1" si="35">(OFFSET(J$5,IF($A29&gt;$A$21,0,$A30),0)+OFFSET(J$5,IF($A29&gt;$A$21,0,$A30+1),0))/2</f>
        <v>51.5</v>
      </c>
      <c r="K29" s="3">
        <f t="shared" ref="K29" ca="1" si="36">(OFFSET(K$5,IF($A29&gt;$A$21,0,$A30),0)+OFFSET(K$5,IF($A29&gt;$A$21,0,$A30+1),0))/2</f>
        <v>35.25</v>
      </c>
      <c r="L29" s="3">
        <f t="shared" ref="L29" ca="1" si="37">(OFFSET(L$5,IF($A29&gt;$A$21,0,$A30),0)+OFFSET(L$5,IF($A29&gt;$A$21,0,$A30+1),0))/2</f>
        <v>29.5</v>
      </c>
      <c r="M29" s="3">
        <f t="shared" ref="M29" ca="1" si="38">(OFFSET(M$5,IF($A29&gt;$A$21,0,$A30),0)+OFFSET(M$5,IF($A29&gt;$A$21,0,$A30+1),0))/2</f>
        <v>22.75</v>
      </c>
      <c r="N29" s="3">
        <f t="shared" ref="N29" ca="1" si="39">(OFFSET(N$5,IF($A29&gt;$A$21,0,$A30),0)+OFFSET(N$5,IF($A29&gt;$A$21,0,$A30+1),0))/2</f>
        <v>21.75</v>
      </c>
      <c r="O29" s="3">
        <f t="shared" ref="O29" ca="1" si="40">(OFFSET(O$5,IF($A29&gt;$A$21,0,$A30),0)+OFFSET(O$5,IF($A29&gt;$A$21,0,$A30+1),0))/2</f>
        <v>20.5</v>
      </c>
    </row>
    <row r="30" spans="1:15" x14ac:dyDescent="0.2">
      <c r="A30" s="2">
        <f>MATCH($A29,$A$6:A27,1)</f>
        <v>2</v>
      </c>
      <c r="B30" s="3">
        <f ca="1">B29*IF($A29&gt;$A$21,1,0.85)</f>
        <v>206.125</v>
      </c>
      <c r="C30" s="3">
        <f t="shared" ref="C30" ca="1" si="41">C29*IF($A29&gt;$A$21,1,0.85)</f>
        <v>178.5</v>
      </c>
      <c r="D30" s="3">
        <f t="shared" ref="D30" ca="1" si="42">D29*IF($A29&gt;$A$21,1,0.85)</f>
        <v>140.25</v>
      </c>
      <c r="E30" s="3">
        <f t="shared" ref="E30" ca="1" si="43">E29*IF($A29&gt;$A$21,1,0.85)</f>
        <v>106.675</v>
      </c>
      <c r="F30" s="3">
        <f t="shared" ref="F30" ca="1" si="44">F29*IF($A29&gt;$A$21,1,0.85)</f>
        <v>86.274999999999991</v>
      </c>
      <c r="G30" s="3">
        <f t="shared" ref="G30" ca="1" si="45">G29*IF($A29&gt;$A$21,1,0.85)</f>
        <v>67.149999999999991</v>
      </c>
      <c r="H30" s="3">
        <f t="shared" ref="H30" ca="1" si="46">H29*IF($A29&gt;$A$21,1,0.85)</f>
        <v>60.774999999999999</v>
      </c>
      <c r="I30" s="3">
        <f t="shared" ref="I30" ca="1" si="47">I29*IF($A29&gt;$A$21,1,0.85)</f>
        <v>50.362499999999997</v>
      </c>
      <c r="J30" s="3">
        <f t="shared" ref="J30" ca="1" si="48">J29*IF($A29&gt;$A$21,1,0.85)</f>
        <v>43.774999999999999</v>
      </c>
      <c r="K30" s="3">
        <f t="shared" ref="K30" ca="1" si="49">K29*IF($A29&gt;$A$21,1,0.85)</f>
        <v>29.962499999999999</v>
      </c>
      <c r="L30" s="3">
        <f t="shared" ref="L30" ca="1" si="50">L29*IF($A29&gt;$A$21,1,0.85)</f>
        <v>25.074999999999999</v>
      </c>
      <c r="M30" s="3">
        <f t="shared" ref="M30" ca="1" si="51">M29*IF($A29&gt;$A$21,1,0.85)</f>
        <v>19.337499999999999</v>
      </c>
      <c r="N30" s="3">
        <f t="shared" ref="N30" ca="1" si="52">N29*IF($A29&gt;$A$21,1,0.85)</f>
        <v>18.487500000000001</v>
      </c>
      <c r="O30" s="3">
        <f t="shared" ref="O30" ca="1" si="53">O29*IF($A29&gt;$A$21,1,0.85)</f>
        <v>17.425000000000001</v>
      </c>
    </row>
  </sheetData>
  <phoneticPr fontId="0" type="noConversion"/>
  <pageMargins left="0.78740157499999996" right="0.78740157499999996" top="0.984251969" bottom="0.984251969"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3:W30"/>
  <sheetViews>
    <sheetView topLeftCell="A7" workbookViewId="0">
      <selection activeCell="A26" sqref="A26"/>
    </sheetView>
  </sheetViews>
  <sheetFormatPr baseColWidth="10" defaultColWidth="9.140625" defaultRowHeight="12.75" x14ac:dyDescent="0.2"/>
  <cols>
    <col min="1" max="5" width="9.140625" customWidth="1"/>
    <col min="6" max="6" width="7.42578125" customWidth="1"/>
    <col min="7" max="7" width="7.28515625" customWidth="1"/>
    <col min="8" max="8" width="8.140625" customWidth="1"/>
    <col min="9" max="10" width="8" customWidth="1"/>
    <col min="11" max="11" width="8.140625" customWidth="1"/>
    <col min="12" max="12" width="7.7109375" customWidth="1"/>
    <col min="13" max="13" width="8.28515625" customWidth="1"/>
    <col min="14" max="14" width="8.140625" customWidth="1"/>
    <col min="15" max="15" width="8.28515625" customWidth="1"/>
    <col min="16" max="16" width="7.85546875" customWidth="1"/>
    <col min="17" max="17" width="8.140625" customWidth="1"/>
    <col min="18" max="18" width="7.7109375" customWidth="1"/>
    <col min="19" max="19" width="7.5703125" customWidth="1"/>
    <col min="20" max="20" width="7.7109375" customWidth="1"/>
    <col min="21" max="21" width="7.5703125" customWidth="1"/>
    <col min="23" max="23" width="9.140625" style="116"/>
  </cols>
  <sheetData>
    <row r="3" spans="1:23" x14ac:dyDescent="0.2">
      <c r="A3" t="s">
        <v>2</v>
      </c>
    </row>
    <row r="4" spans="1:23" x14ac:dyDescent="0.2">
      <c r="W4" s="119" t="s">
        <v>20</v>
      </c>
    </row>
    <row r="5" spans="1:23" s="4" customFormat="1" x14ac:dyDescent="0.2">
      <c r="A5" s="4" t="s">
        <v>1</v>
      </c>
      <c r="B5" s="4">
        <v>1500</v>
      </c>
      <c r="C5" s="4">
        <v>1250</v>
      </c>
      <c r="D5" s="4">
        <v>1000</v>
      </c>
      <c r="E5" s="4">
        <v>800</v>
      </c>
      <c r="F5" s="4">
        <v>630</v>
      </c>
      <c r="G5" s="4">
        <v>500</v>
      </c>
      <c r="H5" s="4">
        <v>425</v>
      </c>
      <c r="I5" s="4">
        <v>400</v>
      </c>
      <c r="J5" s="4">
        <v>350</v>
      </c>
      <c r="K5" s="4">
        <v>315</v>
      </c>
      <c r="L5" s="4">
        <v>250</v>
      </c>
      <c r="M5" s="4">
        <v>224</v>
      </c>
      <c r="N5" s="4">
        <v>200</v>
      </c>
      <c r="O5" s="4">
        <v>160</v>
      </c>
      <c r="P5" s="4">
        <v>125</v>
      </c>
      <c r="Q5" s="4">
        <v>100</v>
      </c>
      <c r="R5" s="4">
        <v>80</v>
      </c>
      <c r="S5" s="4">
        <v>63</v>
      </c>
      <c r="T5" s="4">
        <v>50</v>
      </c>
      <c r="U5" s="4">
        <v>40</v>
      </c>
      <c r="V5" s="4">
        <v>35</v>
      </c>
      <c r="W5" s="118">
        <v>25</v>
      </c>
    </row>
    <row r="6" spans="1:23" x14ac:dyDescent="0.2">
      <c r="A6">
        <v>10</v>
      </c>
      <c r="B6">
        <v>4371</v>
      </c>
      <c r="C6">
        <v>3491</v>
      </c>
      <c r="D6">
        <v>2788</v>
      </c>
      <c r="E6">
        <v>2227</v>
      </c>
      <c r="F6">
        <v>1600</v>
      </c>
      <c r="G6">
        <v>1220</v>
      </c>
      <c r="H6">
        <v>1050</v>
      </c>
      <c r="I6">
        <v>1000</v>
      </c>
      <c r="J6">
        <v>820</v>
      </c>
      <c r="K6">
        <v>710</v>
      </c>
      <c r="L6">
        <v>610</v>
      </c>
      <c r="M6">
        <v>520</v>
      </c>
      <c r="N6">
        <v>430</v>
      </c>
      <c r="O6">
        <v>340</v>
      </c>
      <c r="P6">
        <v>290</v>
      </c>
      <c r="Q6">
        <v>230</v>
      </c>
      <c r="R6">
        <v>175</v>
      </c>
      <c r="S6">
        <v>133</v>
      </c>
      <c r="T6">
        <v>115</v>
      </c>
      <c r="U6">
        <v>96</v>
      </c>
      <c r="V6">
        <v>82.5</v>
      </c>
      <c r="W6" s="116">
        <v>42</v>
      </c>
    </row>
    <row r="7" spans="1:23" x14ac:dyDescent="0.2">
      <c r="A7">
        <v>60</v>
      </c>
      <c r="B7">
        <v>3191</v>
      </c>
      <c r="C7">
        <v>2548</v>
      </c>
      <c r="D7">
        <v>2035</v>
      </c>
      <c r="E7">
        <v>1625</v>
      </c>
      <c r="F7">
        <v>1190</v>
      </c>
      <c r="G7">
        <v>925</v>
      </c>
      <c r="H7">
        <v>800</v>
      </c>
      <c r="I7">
        <v>720</v>
      </c>
      <c r="J7">
        <v>615</v>
      </c>
      <c r="K7">
        <v>525</v>
      </c>
      <c r="L7">
        <v>435</v>
      </c>
      <c r="M7">
        <v>380</v>
      </c>
      <c r="N7">
        <v>320</v>
      </c>
      <c r="O7">
        <v>250</v>
      </c>
      <c r="P7">
        <v>215</v>
      </c>
      <c r="Q7">
        <v>165</v>
      </c>
      <c r="R7">
        <v>128</v>
      </c>
      <c r="S7">
        <v>105</v>
      </c>
      <c r="T7">
        <v>82</v>
      </c>
      <c r="U7">
        <v>71</v>
      </c>
      <c r="V7">
        <v>62</v>
      </c>
      <c r="W7" s="116">
        <v>36</v>
      </c>
    </row>
    <row r="8" spans="1:23" x14ac:dyDescent="0.2">
      <c r="A8">
        <v>120</v>
      </c>
      <c r="B8">
        <v>2852</v>
      </c>
      <c r="C8">
        <v>2277</v>
      </c>
      <c r="D8">
        <v>1819</v>
      </c>
      <c r="E8">
        <v>1452</v>
      </c>
      <c r="F8">
        <v>1100</v>
      </c>
      <c r="G8">
        <v>840</v>
      </c>
      <c r="H8">
        <v>720</v>
      </c>
      <c r="I8">
        <v>660</v>
      </c>
      <c r="J8">
        <v>550</v>
      </c>
      <c r="K8">
        <v>480</v>
      </c>
      <c r="L8">
        <v>410</v>
      </c>
      <c r="M8">
        <v>340</v>
      </c>
      <c r="N8">
        <v>300</v>
      </c>
      <c r="O8">
        <v>230</v>
      </c>
      <c r="P8">
        <v>200</v>
      </c>
      <c r="Q8">
        <v>151</v>
      </c>
      <c r="R8">
        <v>121</v>
      </c>
      <c r="S8">
        <v>95</v>
      </c>
      <c r="T8">
        <v>74.5</v>
      </c>
      <c r="U8">
        <v>64.5</v>
      </c>
      <c r="V8">
        <v>55</v>
      </c>
      <c r="W8" s="116">
        <v>34.5</v>
      </c>
    </row>
    <row r="9" spans="1:23" x14ac:dyDescent="0.2">
      <c r="A9">
        <v>180</v>
      </c>
      <c r="B9">
        <v>2666</v>
      </c>
      <c r="C9">
        <v>2129</v>
      </c>
      <c r="D9">
        <v>1700</v>
      </c>
      <c r="E9">
        <v>1358</v>
      </c>
      <c r="F9">
        <v>1050</v>
      </c>
      <c r="G9">
        <v>800</v>
      </c>
      <c r="H9">
        <v>690</v>
      </c>
      <c r="I9">
        <v>625</v>
      </c>
      <c r="J9">
        <v>525</v>
      </c>
      <c r="K9">
        <v>445</v>
      </c>
      <c r="L9">
        <v>380</v>
      </c>
      <c r="M9">
        <v>325</v>
      </c>
      <c r="N9">
        <v>280</v>
      </c>
      <c r="O9">
        <v>222</v>
      </c>
      <c r="P9">
        <v>185</v>
      </c>
      <c r="Q9">
        <v>141</v>
      </c>
      <c r="R9">
        <v>118</v>
      </c>
      <c r="S9">
        <v>90</v>
      </c>
      <c r="T9">
        <v>72</v>
      </c>
      <c r="U9">
        <v>62</v>
      </c>
      <c r="V9">
        <v>52.5</v>
      </c>
      <c r="W9" s="116">
        <v>34</v>
      </c>
    </row>
    <row r="10" spans="1:23" x14ac:dyDescent="0.2">
      <c r="A10">
        <v>240</v>
      </c>
      <c r="B10">
        <v>2548</v>
      </c>
      <c r="C10">
        <v>2035</v>
      </c>
      <c r="D10">
        <v>1625</v>
      </c>
      <c r="E10">
        <v>1298</v>
      </c>
      <c r="F10">
        <v>1000</v>
      </c>
      <c r="G10">
        <v>775</v>
      </c>
      <c r="H10">
        <v>670</v>
      </c>
      <c r="I10">
        <v>617</v>
      </c>
      <c r="J10">
        <v>517</v>
      </c>
      <c r="K10">
        <v>437</v>
      </c>
      <c r="L10">
        <v>365</v>
      </c>
      <c r="M10">
        <v>321</v>
      </c>
      <c r="N10">
        <v>270</v>
      </c>
      <c r="O10">
        <v>220</v>
      </c>
      <c r="P10">
        <v>178</v>
      </c>
      <c r="Q10">
        <v>140</v>
      </c>
      <c r="R10">
        <v>117</v>
      </c>
      <c r="S10">
        <v>88</v>
      </c>
      <c r="T10">
        <v>70</v>
      </c>
      <c r="U10">
        <v>61</v>
      </c>
      <c r="V10">
        <v>52</v>
      </c>
      <c r="W10" s="116">
        <v>33.5</v>
      </c>
    </row>
    <row r="11" spans="1:23" x14ac:dyDescent="0.2">
      <c r="A11">
        <v>300</v>
      </c>
      <c r="B11">
        <v>2436</v>
      </c>
      <c r="C11">
        <v>1946</v>
      </c>
      <c r="D11">
        <v>1554</v>
      </c>
      <c r="E11">
        <v>1241</v>
      </c>
      <c r="F11">
        <v>960</v>
      </c>
      <c r="G11">
        <v>750</v>
      </c>
      <c r="H11">
        <v>650</v>
      </c>
      <c r="I11">
        <v>600</v>
      </c>
      <c r="J11">
        <v>505</v>
      </c>
      <c r="K11">
        <v>430</v>
      </c>
      <c r="L11">
        <v>355</v>
      </c>
      <c r="M11">
        <v>317</v>
      </c>
      <c r="N11">
        <v>260</v>
      </c>
      <c r="O11">
        <v>217</v>
      </c>
      <c r="P11">
        <v>171</v>
      </c>
      <c r="Q11">
        <v>135</v>
      </c>
      <c r="R11">
        <v>115</v>
      </c>
      <c r="S11">
        <v>85</v>
      </c>
      <c r="T11">
        <v>68</v>
      </c>
      <c r="U11">
        <v>59</v>
      </c>
      <c r="V11">
        <v>51.5</v>
      </c>
      <c r="W11" s="116">
        <v>33</v>
      </c>
    </row>
    <row r="12" spans="1:23" x14ac:dyDescent="0.2">
      <c r="A12">
        <v>600</v>
      </c>
      <c r="B12">
        <v>2227</v>
      </c>
      <c r="C12">
        <v>1778</v>
      </c>
      <c r="D12">
        <v>1420</v>
      </c>
      <c r="E12">
        <v>1134</v>
      </c>
      <c r="F12">
        <v>900</v>
      </c>
      <c r="G12">
        <v>720</v>
      </c>
      <c r="H12">
        <v>620</v>
      </c>
      <c r="I12">
        <v>570</v>
      </c>
      <c r="J12">
        <v>470</v>
      </c>
      <c r="K12">
        <v>415</v>
      </c>
      <c r="L12">
        <v>335</v>
      </c>
      <c r="M12">
        <v>305</v>
      </c>
      <c r="N12">
        <v>241</v>
      </c>
      <c r="O12">
        <v>203</v>
      </c>
      <c r="P12">
        <v>160</v>
      </c>
      <c r="Q12">
        <v>130</v>
      </c>
      <c r="R12">
        <v>109</v>
      </c>
      <c r="S12">
        <v>81.5</v>
      </c>
      <c r="T12">
        <v>63.5</v>
      </c>
      <c r="U12">
        <v>55</v>
      </c>
      <c r="V12">
        <v>48</v>
      </c>
      <c r="W12" s="116">
        <v>32</v>
      </c>
    </row>
    <row r="13" spans="1:23" x14ac:dyDescent="0.2">
      <c r="A13">
        <v>900</v>
      </c>
      <c r="B13">
        <v>2129</v>
      </c>
      <c r="C13">
        <v>1700</v>
      </c>
      <c r="D13">
        <v>1358</v>
      </c>
      <c r="E13">
        <v>1084</v>
      </c>
      <c r="F13">
        <v>860</v>
      </c>
      <c r="G13">
        <v>700</v>
      </c>
      <c r="H13">
        <v>610</v>
      </c>
      <c r="I13">
        <v>545</v>
      </c>
      <c r="J13">
        <v>450</v>
      </c>
      <c r="K13">
        <v>405</v>
      </c>
      <c r="L13">
        <v>330</v>
      </c>
      <c r="M13">
        <v>298</v>
      </c>
      <c r="N13">
        <v>239</v>
      </c>
      <c r="O13">
        <v>200</v>
      </c>
      <c r="P13">
        <v>154</v>
      </c>
      <c r="Q13">
        <v>129</v>
      </c>
      <c r="R13">
        <v>107</v>
      </c>
      <c r="S13">
        <v>80</v>
      </c>
      <c r="T13">
        <v>62</v>
      </c>
      <c r="U13">
        <v>53.5</v>
      </c>
      <c r="V13">
        <v>46</v>
      </c>
      <c r="W13" s="116">
        <v>32</v>
      </c>
    </row>
    <row r="14" spans="1:23" x14ac:dyDescent="0.2">
      <c r="A14">
        <v>1200</v>
      </c>
      <c r="B14">
        <v>2081</v>
      </c>
      <c r="C14">
        <v>1662</v>
      </c>
      <c r="D14">
        <v>1328</v>
      </c>
      <c r="E14">
        <v>1060</v>
      </c>
      <c r="F14">
        <v>850</v>
      </c>
      <c r="G14">
        <v>690</v>
      </c>
      <c r="H14">
        <v>600</v>
      </c>
      <c r="I14">
        <v>540</v>
      </c>
      <c r="J14">
        <v>445</v>
      </c>
      <c r="K14">
        <v>400</v>
      </c>
      <c r="L14">
        <v>325</v>
      </c>
      <c r="M14">
        <v>290</v>
      </c>
      <c r="N14">
        <v>235</v>
      </c>
      <c r="O14">
        <v>200</v>
      </c>
      <c r="P14">
        <v>153</v>
      </c>
      <c r="Q14">
        <v>129</v>
      </c>
      <c r="R14">
        <v>105</v>
      </c>
      <c r="S14">
        <v>77.5</v>
      </c>
      <c r="T14">
        <v>61.5</v>
      </c>
      <c r="U14">
        <v>53</v>
      </c>
      <c r="V14">
        <v>45</v>
      </c>
      <c r="W14" s="116">
        <v>32</v>
      </c>
    </row>
    <row r="15" spans="1:23" x14ac:dyDescent="0.2">
      <c r="A15">
        <v>1800</v>
      </c>
      <c r="B15">
        <v>1990</v>
      </c>
      <c r="C15">
        <v>1589</v>
      </c>
      <c r="D15">
        <v>1269</v>
      </c>
      <c r="E15">
        <v>1014</v>
      </c>
      <c r="F15">
        <v>830</v>
      </c>
      <c r="G15">
        <v>660</v>
      </c>
      <c r="H15">
        <v>580</v>
      </c>
      <c r="I15">
        <v>527</v>
      </c>
      <c r="J15">
        <v>435</v>
      </c>
      <c r="K15">
        <v>387</v>
      </c>
      <c r="L15">
        <v>323</v>
      </c>
      <c r="M15">
        <v>277</v>
      </c>
      <c r="N15">
        <v>232</v>
      </c>
      <c r="O15">
        <v>197</v>
      </c>
      <c r="P15">
        <v>152</v>
      </c>
      <c r="Q15">
        <v>128</v>
      </c>
      <c r="R15">
        <v>102</v>
      </c>
      <c r="S15">
        <v>75.5</v>
      </c>
      <c r="T15">
        <v>60.5</v>
      </c>
      <c r="U15">
        <v>52</v>
      </c>
      <c r="V15">
        <v>44</v>
      </c>
      <c r="W15" s="116">
        <v>32</v>
      </c>
    </row>
    <row r="16" spans="1:23" x14ac:dyDescent="0.2">
      <c r="A16">
        <v>2400</v>
      </c>
      <c r="B16">
        <v>1946</v>
      </c>
      <c r="C16">
        <v>1554</v>
      </c>
      <c r="D16">
        <v>1241</v>
      </c>
      <c r="E16">
        <v>991</v>
      </c>
      <c r="F16">
        <v>820</v>
      </c>
      <c r="G16">
        <v>650</v>
      </c>
      <c r="H16">
        <v>575</v>
      </c>
      <c r="I16">
        <v>525</v>
      </c>
      <c r="J16">
        <v>433</v>
      </c>
      <c r="K16">
        <v>385</v>
      </c>
      <c r="L16">
        <v>321</v>
      </c>
      <c r="M16">
        <v>275</v>
      </c>
      <c r="N16">
        <v>230</v>
      </c>
      <c r="O16">
        <v>195</v>
      </c>
      <c r="P16">
        <v>151</v>
      </c>
      <c r="Q16">
        <v>127</v>
      </c>
      <c r="R16">
        <v>100</v>
      </c>
      <c r="S16">
        <v>75</v>
      </c>
      <c r="T16">
        <v>60</v>
      </c>
      <c r="U16">
        <v>52</v>
      </c>
      <c r="V16">
        <v>44</v>
      </c>
      <c r="W16" s="116">
        <v>32</v>
      </c>
    </row>
    <row r="17" spans="1:23" x14ac:dyDescent="0.2">
      <c r="A17">
        <v>3000</v>
      </c>
      <c r="B17">
        <v>1902</v>
      </c>
      <c r="C17">
        <v>1519</v>
      </c>
      <c r="D17">
        <v>1213</v>
      </c>
      <c r="E17">
        <v>969</v>
      </c>
      <c r="F17">
        <v>810</v>
      </c>
      <c r="G17">
        <v>640</v>
      </c>
      <c r="H17">
        <v>570</v>
      </c>
      <c r="I17">
        <v>524</v>
      </c>
      <c r="J17">
        <v>431</v>
      </c>
      <c r="K17">
        <v>380</v>
      </c>
      <c r="L17">
        <v>320</v>
      </c>
      <c r="M17">
        <v>272</v>
      </c>
      <c r="N17">
        <v>230</v>
      </c>
      <c r="O17">
        <v>191</v>
      </c>
      <c r="P17">
        <v>147</v>
      </c>
      <c r="Q17">
        <v>125</v>
      </c>
      <c r="R17">
        <v>100</v>
      </c>
      <c r="S17">
        <v>75</v>
      </c>
      <c r="T17">
        <v>60</v>
      </c>
      <c r="U17">
        <v>52</v>
      </c>
      <c r="V17">
        <v>43.5</v>
      </c>
      <c r="W17" s="116">
        <v>31.5</v>
      </c>
    </row>
    <row r="18" spans="1:23" x14ac:dyDescent="0.2">
      <c r="A18">
        <v>3600</v>
      </c>
      <c r="B18">
        <v>1885</v>
      </c>
      <c r="C18">
        <v>1506</v>
      </c>
      <c r="D18">
        <v>1202</v>
      </c>
      <c r="E18">
        <v>960</v>
      </c>
      <c r="F18">
        <v>800</v>
      </c>
      <c r="G18">
        <v>631</v>
      </c>
      <c r="H18">
        <v>570</v>
      </c>
      <c r="I18">
        <v>522</v>
      </c>
      <c r="J18">
        <v>430</v>
      </c>
      <c r="K18">
        <v>377</v>
      </c>
      <c r="L18">
        <v>320</v>
      </c>
      <c r="M18">
        <v>270</v>
      </c>
      <c r="N18">
        <v>229</v>
      </c>
      <c r="O18">
        <v>190</v>
      </c>
      <c r="P18">
        <v>146</v>
      </c>
      <c r="Q18">
        <v>125</v>
      </c>
      <c r="R18">
        <v>97</v>
      </c>
      <c r="S18">
        <v>75</v>
      </c>
      <c r="T18">
        <v>60</v>
      </c>
      <c r="U18">
        <v>52</v>
      </c>
      <c r="V18">
        <v>43.5</v>
      </c>
      <c r="W18" s="116">
        <v>31.5</v>
      </c>
    </row>
    <row r="19" spans="1:23" x14ac:dyDescent="0.2">
      <c r="A19">
        <v>5400</v>
      </c>
      <c r="B19">
        <v>1860</v>
      </c>
      <c r="C19">
        <v>1486</v>
      </c>
      <c r="D19">
        <v>1186</v>
      </c>
      <c r="E19">
        <v>947</v>
      </c>
      <c r="F19">
        <v>775</v>
      </c>
      <c r="G19">
        <v>627</v>
      </c>
      <c r="H19">
        <v>560</v>
      </c>
      <c r="I19">
        <v>520</v>
      </c>
      <c r="J19">
        <v>428</v>
      </c>
      <c r="K19">
        <v>371</v>
      </c>
      <c r="L19">
        <v>319</v>
      </c>
      <c r="M19">
        <v>268</v>
      </c>
      <c r="N19">
        <v>227</v>
      </c>
      <c r="O19">
        <v>187</v>
      </c>
      <c r="P19">
        <v>145</v>
      </c>
      <c r="Q19">
        <v>124</v>
      </c>
      <c r="R19">
        <v>96</v>
      </c>
      <c r="S19">
        <v>74</v>
      </c>
      <c r="T19">
        <v>60</v>
      </c>
      <c r="U19">
        <v>51</v>
      </c>
      <c r="V19">
        <v>43</v>
      </c>
      <c r="W19" s="116">
        <v>31.5</v>
      </c>
    </row>
    <row r="20" spans="1:23" x14ac:dyDescent="0.2">
      <c r="A20">
        <v>7200</v>
      </c>
      <c r="B20">
        <v>1835</v>
      </c>
      <c r="C20">
        <v>1466</v>
      </c>
      <c r="D20">
        <v>1170</v>
      </c>
      <c r="E20">
        <v>935</v>
      </c>
      <c r="F20">
        <v>760</v>
      </c>
      <c r="G20">
        <v>620</v>
      </c>
      <c r="H20">
        <v>555</v>
      </c>
      <c r="I20">
        <v>518</v>
      </c>
      <c r="J20">
        <v>427</v>
      </c>
      <c r="K20">
        <v>370</v>
      </c>
      <c r="L20">
        <v>318</v>
      </c>
      <c r="M20">
        <v>265</v>
      </c>
      <c r="N20">
        <v>225</v>
      </c>
      <c r="O20">
        <v>185</v>
      </c>
      <c r="P20">
        <v>143</v>
      </c>
      <c r="Q20">
        <v>123</v>
      </c>
      <c r="R20">
        <v>95</v>
      </c>
      <c r="S20">
        <v>73.5</v>
      </c>
      <c r="T20">
        <v>59</v>
      </c>
      <c r="U20">
        <v>51</v>
      </c>
      <c r="V20">
        <v>43</v>
      </c>
      <c r="W20" s="116">
        <v>31</v>
      </c>
    </row>
    <row r="21" spans="1:23" x14ac:dyDescent="0.2">
      <c r="A21">
        <v>9000</v>
      </c>
      <c r="B21">
        <v>1819</v>
      </c>
      <c r="C21">
        <v>1452</v>
      </c>
      <c r="D21">
        <v>1160</v>
      </c>
      <c r="E21">
        <v>926</v>
      </c>
      <c r="F21">
        <v>750</v>
      </c>
      <c r="G21">
        <v>615</v>
      </c>
      <c r="H21">
        <v>550</v>
      </c>
      <c r="I21">
        <v>515</v>
      </c>
      <c r="J21">
        <v>425</v>
      </c>
      <c r="K21">
        <v>365</v>
      </c>
      <c r="L21">
        <v>315</v>
      </c>
      <c r="M21">
        <v>265</v>
      </c>
      <c r="N21">
        <v>225</v>
      </c>
      <c r="O21">
        <v>185</v>
      </c>
      <c r="P21">
        <v>140</v>
      </c>
      <c r="Q21">
        <v>120</v>
      </c>
      <c r="R21">
        <v>94</v>
      </c>
      <c r="S21">
        <v>73</v>
      </c>
      <c r="T21">
        <v>58</v>
      </c>
      <c r="U21">
        <v>50</v>
      </c>
      <c r="V21">
        <v>42.5</v>
      </c>
      <c r="W21" s="116">
        <v>30.5</v>
      </c>
    </row>
    <row r="23" spans="1:23" x14ac:dyDescent="0.2">
      <c r="A23">
        <f>USV!J22*60</f>
        <v>900</v>
      </c>
      <c r="B23" s="3">
        <f ca="1">(OFFSET(B$5,IF($A23&gt;$A$21,0,$A24),0)+OFFSET(B5,IF($A23&gt;$A$21,0,$A24+1),0))/2</f>
        <v>2105</v>
      </c>
      <c r="C23" s="3">
        <f t="shared" ref="C23:V23" ca="1" si="0">(OFFSET(C$5,IF($A23&gt;$A$21,0,$A24),0)+OFFSET(C5,IF($A23&gt;$A$21,0,$A24+1),0))/2</f>
        <v>1681</v>
      </c>
      <c r="D23" s="3">
        <f t="shared" ca="1" si="0"/>
        <v>1343</v>
      </c>
      <c r="E23" s="3">
        <f t="shared" ca="1" si="0"/>
        <v>1072</v>
      </c>
      <c r="F23" s="3">
        <f t="shared" ca="1" si="0"/>
        <v>855</v>
      </c>
      <c r="G23" s="3">
        <f t="shared" ca="1" si="0"/>
        <v>695</v>
      </c>
      <c r="H23" s="3">
        <f t="shared" ca="1" si="0"/>
        <v>605</v>
      </c>
      <c r="I23" s="3">
        <f t="shared" ca="1" si="0"/>
        <v>542.5</v>
      </c>
      <c r="J23" s="3">
        <f t="shared" ca="1" si="0"/>
        <v>447.5</v>
      </c>
      <c r="K23" s="3">
        <f t="shared" ca="1" si="0"/>
        <v>402.5</v>
      </c>
      <c r="L23" s="3">
        <f t="shared" ca="1" si="0"/>
        <v>327.5</v>
      </c>
      <c r="M23" s="3">
        <f t="shared" ca="1" si="0"/>
        <v>294</v>
      </c>
      <c r="N23" s="3">
        <f t="shared" ca="1" si="0"/>
        <v>237</v>
      </c>
      <c r="O23" s="3">
        <f t="shared" ca="1" si="0"/>
        <v>200</v>
      </c>
      <c r="P23" s="3">
        <f t="shared" ca="1" si="0"/>
        <v>153.5</v>
      </c>
      <c r="Q23" s="3">
        <f t="shared" ca="1" si="0"/>
        <v>129</v>
      </c>
      <c r="R23" s="3">
        <f t="shared" ca="1" si="0"/>
        <v>106</v>
      </c>
      <c r="S23" s="3">
        <f t="shared" ca="1" si="0"/>
        <v>78.75</v>
      </c>
      <c r="T23" s="3">
        <f t="shared" ca="1" si="0"/>
        <v>61.75</v>
      </c>
      <c r="U23" s="3">
        <f t="shared" ca="1" si="0"/>
        <v>53.25</v>
      </c>
      <c r="V23" s="3">
        <f t="shared" ca="1" si="0"/>
        <v>45.5</v>
      </c>
      <c r="W23" s="117">
        <f t="shared" ref="W23" ca="1" si="1">(OFFSET(W$5,IF($A23&gt;$A$21,0,$A24),0)+OFFSET(W5,IF($A23&gt;$A$21,0,$A24+1),0))/2</f>
        <v>32</v>
      </c>
    </row>
    <row r="24" spans="1:23" x14ac:dyDescent="0.2">
      <c r="A24" s="2">
        <f>MATCH($A23,$A$6:$A$21,1)</f>
        <v>8</v>
      </c>
      <c r="B24" s="3">
        <f ca="1">B23*IF($A23&gt;$A$21,1,0.85)</f>
        <v>1789.25</v>
      </c>
      <c r="C24" s="3">
        <f t="shared" ref="C24:V24" ca="1" si="2">C23*IF($A23&gt;$A$21,1,0.85)</f>
        <v>1428.85</v>
      </c>
      <c r="D24" s="3">
        <f t="shared" ca="1" si="2"/>
        <v>1141.55</v>
      </c>
      <c r="E24" s="3">
        <f t="shared" ca="1" si="2"/>
        <v>911.19999999999993</v>
      </c>
      <c r="F24" s="3">
        <f t="shared" ca="1" si="2"/>
        <v>726.75</v>
      </c>
      <c r="G24" s="3">
        <f t="shared" ca="1" si="2"/>
        <v>590.75</v>
      </c>
      <c r="H24" s="3">
        <f t="shared" ca="1" si="2"/>
        <v>514.25</v>
      </c>
      <c r="I24" s="3">
        <f t="shared" ca="1" si="2"/>
        <v>461.125</v>
      </c>
      <c r="J24" s="3">
        <f t="shared" ca="1" si="2"/>
        <v>380.375</v>
      </c>
      <c r="K24" s="3">
        <f t="shared" ca="1" si="2"/>
        <v>342.125</v>
      </c>
      <c r="L24" s="3">
        <f t="shared" ca="1" si="2"/>
        <v>278.375</v>
      </c>
      <c r="M24" s="3">
        <f t="shared" ca="1" si="2"/>
        <v>249.9</v>
      </c>
      <c r="N24" s="3">
        <f t="shared" ca="1" si="2"/>
        <v>201.45</v>
      </c>
      <c r="O24" s="3">
        <f t="shared" ca="1" si="2"/>
        <v>170</v>
      </c>
      <c r="P24" s="3">
        <f t="shared" ca="1" si="2"/>
        <v>130.47499999999999</v>
      </c>
      <c r="Q24" s="3">
        <f t="shared" ca="1" si="2"/>
        <v>109.64999999999999</v>
      </c>
      <c r="R24" s="3">
        <f t="shared" ca="1" si="2"/>
        <v>90.1</v>
      </c>
      <c r="S24" s="3">
        <f t="shared" ca="1" si="2"/>
        <v>66.9375</v>
      </c>
      <c r="T24" s="3">
        <f t="shared" ca="1" si="2"/>
        <v>52.487499999999997</v>
      </c>
      <c r="U24" s="3">
        <f t="shared" ca="1" si="2"/>
        <v>45.262499999999996</v>
      </c>
      <c r="V24" s="3">
        <f t="shared" ca="1" si="2"/>
        <v>38.674999999999997</v>
      </c>
      <c r="W24" s="117">
        <f t="shared" ref="W24" ca="1" si="3">W23*IF($A23&gt;$A$21,1,0.85)</f>
        <v>27.2</v>
      </c>
    </row>
    <row r="26" spans="1:23" x14ac:dyDescent="0.2">
      <c r="A26">
        <f>USV!M24*60</f>
        <v>600</v>
      </c>
      <c r="B26" s="3">
        <f ca="1">(OFFSET(B$5,IF($A26&gt;$A$21,0,$A27),0)+OFFSET(B8,IF($A26&gt;$A$21,0,$A27+1),0))/2</f>
        <v>2086.5</v>
      </c>
      <c r="C26" s="3">
        <f t="shared" ref="C26" ca="1" si="4">(OFFSET(C$5,IF($A26&gt;$A$21,0,$A27),0)+OFFSET(C8,IF($A26&gt;$A$21,0,$A27+1),0))/2</f>
        <v>1666</v>
      </c>
      <c r="D26" s="3">
        <f t="shared" ref="D26" ca="1" si="5">(OFFSET(D$5,IF($A26&gt;$A$21,0,$A27),0)+OFFSET(D8,IF($A26&gt;$A$21,0,$A27+1),0))/2</f>
        <v>1330.5</v>
      </c>
      <c r="E26" s="3">
        <f t="shared" ref="E26" ca="1" si="6">(OFFSET(E$5,IF($A26&gt;$A$21,0,$A27),0)+OFFSET(E8,IF($A26&gt;$A$21,0,$A27+1),0))/2</f>
        <v>1062.5</v>
      </c>
      <c r="F26" s="3">
        <f t="shared" ref="F26" ca="1" si="7">(OFFSET(F$5,IF($A26&gt;$A$21,0,$A27),0)+OFFSET(F8,IF($A26&gt;$A$21,0,$A27+1),0))/2</f>
        <v>860</v>
      </c>
      <c r="G26" s="3">
        <f t="shared" ref="G26" ca="1" si="8">(OFFSET(G$5,IF($A26&gt;$A$21,0,$A27),0)+OFFSET(G8,IF($A26&gt;$A$21,0,$A27+1),0))/2</f>
        <v>685</v>
      </c>
      <c r="H26" s="3">
        <f t="shared" ref="H26" ca="1" si="9">(OFFSET(H$5,IF($A26&gt;$A$21,0,$A27),0)+OFFSET(H8,IF($A26&gt;$A$21,0,$A27+1),0))/2</f>
        <v>597.5</v>
      </c>
      <c r="I26" s="3">
        <f t="shared" ref="I26" ca="1" si="10">(OFFSET(I$5,IF($A26&gt;$A$21,0,$A27),0)+OFFSET(I8,IF($A26&gt;$A$21,0,$A27+1),0))/2</f>
        <v>547.5</v>
      </c>
      <c r="J26" s="3">
        <f t="shared" ref="J26" ca="1" si="11">(OFFSET(J$5,IF($A26&gt;$A$21,0,$A27),0)+OFFSET(J8,IF($A26&gt;$A$21,0,$A27+1),0))/2</f>
        <v>451.5</v>
      </c>
      <c r="K26" s="3">
        <f t="shared" ref="K26" ca="1" si="12">(OFFSET(K$5,IF($A26&gt;$A$21,0,$A27),0)+OFFSET(K8,IF($A26&gt;$A$21,0,$A27+1),0))/2</f>
        <v>400</v>
      </c>
      <c r="L26" s="3">
        <f t="shared" ref="L26" ca="1" si="13">(OFFSET(L$5,IF($A26&gt;$A$21,0,$A27),0)+OFFSET(L8,IF($A26&gt;$A$21,0,$A27+1),0))/2</f>
        <v>328</v>
      </c>
      <c r="M26" s="3">
        <f t="shared" ref="M26" ca="1" si="14">(OFFSET(M$5,IF($A26&gt;$A$21,0,$A27),0)+OFFSET(M8,IF($A26&gt;$A$21,0,$A27+1),0))/2</f>
        <v>290</v>
      </c>
      <c r="N26" s="3">
        <f t="shared" ref="N26" ca="1" si="15">(OFFSET(N$5,IF($A26&gt;$A$21,0,$A27),0)+OFFSET(N8,IF($A26&gt;$A$21,0,$A27+1),0))/2</f>
        <v>235.5</v>
      </c>
      <c r="O26" s="3">
        <f t="shared" ref="O26" ca="1" si="16">(OFFSET(O$5,IF($A26&gt;$A$21,0,$A27),0)+OFFSET(O8,IF($A26&gt;$A$21,0,$A27+1),0))/2</f>
        <v>199</v>
      </c>
      <c r="P26" s="3">
        <f t="shared" ref="P26" ca="1" si="17">(OFFSET(P$5,IF($A26&gt;$A$21,0,$A27),0)+OFFSET(P8,IF($A26&gt;$A$21,0,$A27+1),0))/2</f>
        <v>155.5</v>
      </c>
      <c r="Q26" s="3">
        <f t="shared" ref="Q26" ca="1" si="18">(OFFSET(Q$5,IF($A26&gt;$A$21,0,$A27),0)+OFFSET(Q8,IF($A26&gt;$A$21,0,$A27+1),0))/2</f>
        <v>128.5</v>
      </c>
      <c r="R26" s="3">
        <f t="shared" ref="R26" ca="1" si="19">(OFFSET(R$5,IF($A26&gt;$A$21,0,$A27),0)+OFFSET(R8,IF($A26&gt;$A$21,0,$A27+1),0))/2</f>
        <v>104.5</v>
      </c>
      <c r="S26" s="3">
        <f t="shared" ref="S26" ca="1" si="20">(OFFSET(S$5,IF($A26&gt;$A$21,0,$A27),0)+OFFSET(S8,IF($A26&gt;$A$21,0,$A27+1),0))/2</f>
        <v>78.25</v>
      </c>
      <c r="T26" s="3">
        <f t="shared" ref="T26" ca="1" si="21">(OFFSET(T$5,IF($A26&gt;$A$21,0,$A27),0)+OFFSET(T8,IF($A26&gt;$A$21,0,$A27+1),0))/2</f>
        <v>61.75</v>
      </c>
      <c r="U26" s="3">
        <f t="shared" ref="U26" ca="1" si="22">(OFFSET(U$5,IF($A26&gt;$A$21,0,$A27),0)+OFFSET(U8,IF($A26&gt;$A$21,0,$A27+1),0))/2</f>
        <v>53.5</v>
      </c>
      <c r="V26" s="3">
        <f t="shared" ref="V26:W26" ca="1" si="23">(OFFSET(V$5,IF($A26&gt;$A$21,0,$A27),0)+OFFSET(V8,IF($A26&gt;$A$21,0,$A27+1),0))/2</f>
        <v>46</v>
      </c>
      <c r="W26" s="117">
        <f t="shared" ca="1" si="23"/>
        <v>32</v>
      </c>
    </row>
    <row r="27" spans="1:23" x14ac:dyDescent="0.2">
      <c r="A27" s="2">
        <f>MATCH($A26,$A$6:$A$21,1)</f>
        <v>7</v>
      </c>
      <c r="B27" s="3">
        <f ca="1">B26*IF($A26&gt;$A$21,1,0.85)</f>
        <v>1773.5249999999999</v>
      </c>
      <c r="C27" s="3">
        <f t="shared" ref="C27" ca="1" si="24">C26*IF($A26&gt;$A$21,1,0.85)</f>
        <v>1416.1</v>
      </c>
      <c r="D27" s="3">
        <f t="shared" ref="D27" ca="1" si="25">D26*IF($A26&gt;$A$21,1,0.85)</f>
        <v>1130.925</v>
      </c>
      <c r="E27" s="3">
        <f t="shared" ref="E27" ca="1" si="26">E26*IF($A26&gt;$A$21,1,0.85)</f>
        <v>903.125</v>
      </c>
      <c r="F27" s="3">
        <f t="shared" ref="F27" ca="1" si="27">F26*IF($A26&gt;$A$21,1,0.85)</f>
        <v>731</v>
      </c>
      <c r="G27" s="3">
        <f t="shared" ref="G27" ca="1" si="28">G26*IF($A26&gt;$A$21,1,0.85)</f>
        <v>582.25</v>
      </c>
      <c r="H27" s="3">
        <f t="shared" ref="H27" ca="1" si="29">H26*IF($A26&gt;$A$21,1,0.85)</f>
        <v>507.875</v>
      </c>
      <c r="I27" s="3">
        <f t="shared" ref="I27" ca="1" si="30">I26*IF($A26&gt;$A$21,1,0.85)</f>
        <v>465.375</v>
      </c>
      <c r="J27" s="3">
        <f t="shared" ref="J27" ca="1" si="31">J26*IF($A26&gt;$A$21,1,0.85)</f>
        <v>383.77499999999998</v>
      </c>
      <c r="K27" s="3">
        <f t="shared" ref="K27" ca="1" si="32">K26*IF($A26&gt;$A$21,1,0.85)</f>
        <v>340</v>
      </c>
      <c r="L27" s="3">
        <f t="shared" ref="L27" ca="1" si="33">L26*IF($A26&gt;$A$21,1,0.85)</f>
        <v>278.8</v>
      </c>
      <c r="M27" s="3">
        <f t="shared" ref="M27" ca="1" si="34">M26*IF($A26&gt;$A$21,1,0.85)</f>
        <v>246.5</v>
      </c>
      <c r="N27" s="3">
        <f t="shared" ref="N27" ca="1" si="35">N26*IF($A26&gt;$A$21,1,0.85)</f>
        <v>200.17499999999998</v>
      </c>
      <c r="O27" s="3">
        <f t="shared" ref="O27" ca="1" si="36">O26*IF($A26&gt;$A$21,1,0.85)</f>
        <v>169.15</v>
      </c>
      <c r="P27" s="3">
        <f t="shared" ref="P27" ca="1" si="37">P26*IF($A26&gt;$A$21,1,0.85)</f>
        <v>132.17499999999998</v>
      </c>
      <c r="Q27" s="3">
        <f t="shared" ref="Q27" ca="1" si="38">Q26*IF($A26&gt;$A$21,1,0.85)</f>
        <v>109.22499999999999</v>
      </c>
      <c r="R27" s="3">
        <f t="shared" ref="R27" ca="1" si="39">R26*IF($A26&gt;$A$21,1,0.85)</f>
        <v>88.825000000000003</v>
      </c>
      <c r="S27" s="3">
        <f t="shared" ref="S27" ca="1" si="40">S26*IF($A26&gt;$A$21,1,0.85)</f>
        <v>66.512500000000003</v>
      </c>
      <c r="T27" s="3">
        <f t="shared" ref="T27" ca="1" si="41">T26*IF($A26&gt;$A$21,1,0.85)</f>
        <v>52.487499999999997</v>
      </c>
      <c r="U27" s="3">
        <f t="shared" ref="U27" ca="1" si="42">U26*IF($A26&gt;$A$21,1,0.85)</f>
        <v>45.475000000000001</v>
      </c>
      <c r="V27" s="3">
        <f t="shared" ref="V27:W27" ca="1" si="43">V26*IF($A26&gt;$A$21,1,0.85)</f>
        <v>39.1</v>
      </c>
      <c r="W27" s="117">
        <f t="shared" ca="1" si="43"/>
        <v>27.2</v>
      </c>
    </row>
    <row r="29" spans="1:23" x14ac:dyDescent="0.2">
      <c r="A29">
        <f>USV!O24*60</f>
        <v>60</v>
      </c>
      <c r="B29" s="3">
        <f t="shared" ref="B29:V29" ca="1" si="44">(OFFSET(B$5,IF($A29&gt;$A$21,0,$A30),0)+OFFSET(B12,IF($A29&gt;$A$21,0,$A30+1),0))/2</f>
        <v>2590.5</v>
      </c>
      <c r="C29" s="3">
        <f t="shared" ca="1" si="44"/>
        <v>2068.5</v>
      </c>
      <c r="D29" s="3">
        <f t="shared" ca="1" si="44"/>
        <v>1652</v>
      </c>
      <c r="E29" s="3">
        <f t="shared" ca="1" si="44"/>
        <v>1319.5</v>
      </c>
      <c r="F29" s="3">
        <f t="shared" ca="1" si="44"/>
        <v>1010</v>
      </c>
      <c r="G29" s="3">
        <f t="shared" ca="1" si="44"/>
        <v>792.5</v>
      </c>
      <c r="H29" s="3">
        <f t="shared" ca="1" si="44"/>
        <v>690</v>
      </c>
      <c r="I29" s="3">
        <f t="shared" ca="1" si="44"/>
        <v>623.5</v>
      </c>
      <c r="J29" s="3">
        <f t="shared" ca="1" si="44"/>
        <v>525</v>
      </c>
      <c r="K29" s="3">
        <f t="shared" ca="1" si="44"/>
        <v>456</v>
      </c>
      <c r="L29" s="3">
        <f t="shared" ca="1" si="44"/>
        <v>379</v>
      </c>
      <c r="M29" s="3">
        <f t="shared" ca="1" si="44"/>
        <v>328.5</v>
      </c>
      <c r="N29" s="3">
        <f t="shared" ca="1" si="44"/>
        <v>276</v>
      </c>
      <c r="O29" s="3">
        <f t="shared" ca="1" si="44"/>
        <v>223.5</v>
      </c>
      <c r="P29" s="3">
        <f t="shared" ca="1" si="44"/>
        <v>183.5</v>
      </c>
      <c r="Q29" s="3">
        <f t="shared" ca="1" si="44"/>
        <v>146.5</v>
      </c>
      <c r="R29" s="3">
        <f t="shared" ca="1" si="44"/>
        <v>115</v>
      </c>
      <c r="S29" s="3">
        <f t="shared" ca="1" si="44"/>
        <v>90.25</v>
      </c>
      <c r="T29" s="3">
        <f t="shared" ca="1" si="44"/>
        <v>71.25</v>
      </c>
      <c r="U29" s="3">
        <f t="shared" ca="1" si="44"/>
        <v>61.5</v>
      </c>
      <c r="V29" s="3">
        <f t="shared" ca="1" si="44"/>
        <v>53</v>
      </c>
      <c r="W29" s="117">
        <f t="shared" ref="W29" ca="1" si="45">(OFFSET(W$5,IF($A29&gt;$A$21,0,$A30),0)+OFFSET(W12,IF($A29&gt;$A$21,0,$A30+1),0))/2</f>
        <v>34</v>
      </c>
    </row>
    <row r="30" spans="1:23" x14ac:dyDescent="0.2">
      <c r="A30" s="2">
        <f>MATCH($A29,$A$6:$A$21,1)</f>
        <v>2</v>
      </c>
      <c r="B30" s="3">
        <f t="shared" ref="B30:V30" ca="1" si="46">B29*IF($A29&gt;$A$21,1,0.85)</f>
        <v>2201.9249999999997</v>
      </c>
      <c r="C30" s="3">
        <f t="shared" ca="1" si="46"/>
        <v>1758.2249999999999</v>
      </c>
      <c r="D30" s="3">
        <f t="shared" ca="1" si="46"/>
        <v>1404.2</v>
      </c>
      <c r="E30" s="3">
        <f t="shared" ca="1" si="46"/>
        <v>1121.575</v>
      </c>
      <c r="F30" s="3">
        <f t="shared" ca="1" si="46"/>
        <v>858.5</v>
      </c>
      <c r="G30" s="3">
        <f t="shared" ca="1" si="46"/>
        <v>673.625</v>
      </c>
      <c r="H30" s="3">
        <f t="shared" ca="1" si="46"/>
        <v>586.5</v>
      </c>
      <c r="I30" s="3">
        <f t="shared" ca="1" si="46"/>
        <v>529.97500000000002</v>
      </c>
      <c r="J30" s="3">
        <f t="shared" ca="1" si="46"/>
        <v>446.25</v>
      </c>
      <c r="K30" s="3">
        <f t="shared" ca="1" si="46"/>
        <v>387.59999999999997</v>
      </c>
      <c r="L30" s="3">
        <f t="shared" ca="1" si="46"/>
        <v>322.14999999999998</v>
      </c>
      <c r="M30" s="3">
        <f t="shared" ca="1" si="46"/>
        <v>279.22499999999997</v>
      </c>
      <c r="N30" s="3">
        <f t="shared" ca="1" si="46"/>
        <v>234.6</v>
      </c>
      <c r="O30" s="3">
        <f t="shared" ca="1" si="46"/>
        <v>189.97499999999999</v>
      </c>
      <c r="P30" s="3">
        <f t="shared" ca="1" si="46"/>
        <v>155.97499999999999</v>
      </c>
      <c r="Q30" s="3">
        <f t="shared" ca="1" si="46"/>
        <v>124.52499999999999</v>
      </c>
      <c r="R30" s="3">
        <f t="shared" ca="1" si="46"/>
        <v>97.75</v>
      </c>
      <c r="S30" s="3">
        <f t="shared" ca="1" si="46"/>
        <v>76.712499999999991</v>
      </c>
      <c r="T30" s="3">
        <f t="shared" ca="1" si="46"/>
        <v>60.5625</v>
      </c>
      <c r="U30" s="3">
        <f t="shared" ca="1" si="46"/>
        <v>52.274999999999999</v>
      </c>
      <c r="V30" s="3">
        <f t="shared" ca="1" si="46"/>
        <v>45.05</v>
      </c>
      <c r="W30" s="117">
        <f t="shared" ref="W30" ca="1" si="47">W29*IF($A29&gt;$A$21,1,0.85)</f>
        <v>28.9</v>
      </c>
    </row>
  </sheetData>
  <phoneticPr fontId="0" type="noConversion"/>
  <pageMargins left="0.78740157499999996" right="0.78740157499999996" top="0.984251969" bottom="0.984251969"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3:M30"/>
  <sheetViews>
    <sheetView workbookViewId="0">
      <selection activeCell="B26" sqref="B26:K26"/>
    </sheetView>
  </sheetViews>
  <sheetFormatPr baseColWidth="10" defaultColWidth="9.140625" defaultRowHeight="12.75" x14ac:dyDescent="0.2"/>
  <sheetData>
    <row r="3" spans="1:13" x14ac:dyDescent="0.2">
      <c r="A3" t="s">
        <v>3</v>
      </c>
    </row>
    <row r="5" spans="1:13" s="4" customFormat="1" x14ac:dyDescent="0.2">
      <c r="A5" s="4" t="s">
        <v>1</v>
      </c>
      <c r="B5" s="4">
        <v>160</v>
      </c>
      <c r="C5" s="4">
        <v>125</v>
      </c>
      <c r="D5" s="4">
        <v>100</v>
      </c>
      <c r="E5" s="4">
        <v>80</v>
      </c>
      <c r="F5" s="4">
        <v>63</v>
      </c>
      <c r="G5" s="4">
        <v>50</v>
      </c>
      <c r="H5" s="4">
        <v>40</v>
      </c>
      <c r="I5" s="4">
        <v>32</v>
      </c>
      <c r="J5" s="4">
        <v>25</v>
      </c>
      <c r="K5" s="4">
        <v>20</v>
      </c>
      <c r="L5" s="4">
        <v>16</v>
      </c>
      <c r="M5" s="4">
        <v>10</v>
      </c>
    </row>
    <row r="6" spans="1:13" x14ac:dyDescent="0.2">
      <c r="A6">
        <v>10</v>
      </c>
      <c r="B6">
        <v>390</v>
      </c>
      <c r="C6">
        <v>300</v>
      </c>
      <c r="D6">
        <v>240</v>
      </c>
      <c r="E6">
        <v>200</v>
      </c>
      <c r="F6">
        <v>140</v>
      </c>
      <c r="G6">
        <v>115</v>
      </c>
      <c r="H6">
        <v>90</v>
      </c>
      <c r="I6">
        <v>75</v>
      </c>
      <c r="J6">
        <v>59</v>
      </c>
      <c r="K6">
        <v>43</v>
      </c>
      <c r="L6">
        <v>34</v>
      </c>
      <c r="M6">
        <v>30.5</v>
      </c>
    </row>
    <row r="7" spans="1:13" x14ac:dyDescent="0.2">
      <c r="A7">
        <v>60</v>
      </c>
      <c r="B7">
        <v>315</v>
      </c>
      <c r="C7">
        <v>230</v>
      </c>
      <c r="D7">
        <v>200</v>
      </c>
      <c r="E7">
        <v>147</v>
      </c>
      <c r="F7">
        <v>117</v>
      </c>
      <c r="G7">
        <v>92</v>
      </c>
      <c r="H7">
        <v>70</v>
      </c>
      <c r="I7">
        <v>60</v>
      </c>
      <c r="J7">
        <v>45</v>
      </c>
      <c r="K7">
        <v>34</v>
      </c>
      <c r="L7">
        <v>27</v>
      </c>
      <c r="M7">
        <v>23</v>
      </c>
    </row>
    <row r="8" spans="1:13" x14ac:dyDescent="0.2">
      <c r="A8">
        <v>120</v>
      </c>
      <c r="B8">
        <v>290</v>
      </c>
      <c r="C8">
        <v>215</v>
      </c>
      <c r="D8">
        <v>180</v>
      </c>
      <c r="E8">
        <v>137</v>
      </c>
      <c r="F8">
        <v>113</v>
      </c>
      <c r="G8">
        <v>86</v>
      </c>
      <c r="H8">
        <v>65</v>
      </c>
      <c r="I8">
        <v>56</v>
      </c>
      <c r="J8">
        <v>42.5</v>
      </c>
      <c r="K8">
        <v>32.5</v>
      </c>
      <c r="L8">
        <v>25.5</v>
      </c>
      <c r="M8">
        <v>22</v>
      </c>
    </row>
    <row r="9" spans="1:13" x14ac:dyDescent="0.2">
      <c r="A9">
        <v>180</v>
      </c>
      <c r="B9">
        <v>270</v>
      </c>
      <c r="C9">
        <v>210</v>
      </c>
      <c r="D9">
        <v>170</v>
      </c>
      <c r="E9">
        <v>135</v>
      </c>
      <c r="F9">
        <v>110</v>
      </c>
      <c r="G9">
        <v>82</v>
      </c>
      <c r="H9">
        <v>63</v>
      </c>
      <c r="I9">
        <v>53</v>
      </c>
      <c r="J9">
        <v>41.5</v>
      </c>
      <c r="K9">
        <v>31.5</v>
      </c>
      <c r="L9">
        <v>24</v>
      </c>
      <c r="M9">
        <v>21.5</v>
      </c>
    </row>
    <row r="10" spans="1:13" x14ac:dyDescent="0.2">
      <c r="A10">
        <v>240</v>
      </c>
      <c r="B10">
        <v>262</v>
      </c>
      <c r="C10">
        <v>205</v>
      </c>
      <c r="D10">
        <v>165</v>
      </c>
      <c r="E10">
        <v>132</v>
      </c>
      <c r="F10">
        <v>109</v>
      </c>
      <c r="G10">
        <v>80.5</v>
      </c>
      <c r="H10">
        <v>62</v>
      </c>
      <c r="I10">
        <v>52</v>
      </c>
      <c r="J10">
        <v>41</v>
      </c>
      <c r="K10">
        <v>31</v>
      </c>
      <c r="L10">
        <v>23.5</v>
      </c>
      <c r="M10">
        <v>21</v>
      </c>
    </row>
    <row r="11" spans="1:13" x14ac:dyDescent="0.2">
      <c r="A11">
        <v>300</v>
      </c>
      <c r="B11">
        <v>255</v>
      </c>
      <c r="C11">
        <v>200</v>
      </c>
      <c r="D11">
        <v>160</v>
      </c>
      <c r="E11">
        <v>130</v>
      </c>
      <c r="F11">
        <v>105</v>
      </c>
      <c r="G11">
        <v>79</v>
      </c>
      <c r="H11">
        <v>61</v>
      </c>
      <c r="I11">
        <v>51.5</v>
      </c>
      <c r="J11">
        <v>40</v>
      </c>
      <c r="K11">
        <v>30.5</v>
      </c>
      <c r="L11">
        <v>23</v>
      </c>
      <c r="M11">
        <v>20.5</v>
      </c>
    </row>
    <row r="12" spans="1:13" x14ac:dyDescent="0.2">
      <c r="A12">
        <v>600</v>
      </c>
      <c r="B12">
        <v>245</v>
      </c>
      <c r="C12">
        <v>190</v>
      </c>
      <c r="D12">
        <v>150</v>
      </c>
      <c r="E12">
        <v>125</v>
      </c>
      <c r="F12">
        <v>96</v>
      </c>
      <c r="G12">
        <v>74</v>
      </c>
      <c r="H12">
        <v>57</v>
      </c>
      <c r="I12">
        <v>49.5</v>
      </c>
      <c r="J12">
        <v>38</v>
      </c>
      <c r="K12">
        <v>29.5</v>
      </c>
      <c r="L12">
        <v>22.5</v>
      </c>
      <c r="M12">
        <v>20</v>
      </c>
    </row>
    <row r="13" spans="1:13" x14ac:dyDescent="0.2">
      <c r="A13">
        <v>900</v>
      </c>
      <c r="B13">
        <v>240</v>
      </c>
      <c r="C13">
        <v>185</v>
      </c>
      <c r="D13">
        <v>148.5</v>
      </c>
      <c r="E13">
        <v>124</v>
      </c>
      <c r="F13">
        <v>94.5</v>
      </c>
      <c r="G13">
        <v>73</v>
      </c>
      <c r="H13">
        <v>55.5</v>
      </c>
      <c r="I13">
        <v>48</v>
      </c>
      <c r="J13">
        <v>37</v>
      </c>
      <c r="K13">
        <v>29</v>
      </c>
      <c r="L13">
        <v>22</v>
      </c>
      <c r="M13">
        <v>19.5</v>
      </c>
    </row>
    <row r="14" spans="1:13" x14ac:dyDescent="0.2">
      <c r="A14">
        <v>1200</v>
      </c>
      <c r="B14">
        <v>237</v>
      </c>
      <c r="C14">
        <v>180</v>
      </c>
      <c r="D14">
        <v>147</v>
      </c>
      <c r="E14">
        <v>123</v>
      </c>
      <c r="F14">
        <v>93</v>
      </c>
      <c r="G14">
        <v>72.5</v>
      </c>
      <c r="H14">
        <v>54</v>
      </c>
      <c r="I14">
        <v>47</v>
      </c>
      <c r="J14">
        <v>35.5</v>
      </c>
      <c r="K14">
        <v>28</v>
      </c>
      <c r="L14">
        <v>22</v>
      </c>
      <c r="M14">
        <v>19</v>
      </c>
    </row>
    <row r="15" spans="1:13" x14ac:dyDescent="0.2">
      <c r="A15">
        <v>1800</v>
      </c>
      <c r="B15">
        <v>235</v>
      </c>
      <c r="C15">
        <v>177</v>
      </c>
      <c r="D15">
        <v>145</v>
      </c>
      <c r="E15">
        <v>122</v>
      </c>
      <c r="F15">
        <v>92</v>
      </c>
      <c r="G15">
        <v>72</v>
      </c>
      <c r="H15">
        <v>53.5</v>
      </c>
      <c r="I15">
        <v>46</v>
      </c>
      <c r="J15">
        <v>35</v>
      </c>
      <c r="K15">
        <v>27</v>
      </c>
      <c r="L15">
        <v>22</v>
      </c>
      <c r="M15">
        <v>19</v>
      </c>
    </row>
    <row r="16" spans="1:13" x14ac:dyDescent="0.2">
      <c r="A16">
        <v>2400</v>
      </c>
      <c r="B16">
        <v>233</v>
      </c>
      <c r="C16">
        <v>173</v>
      </c>
      <c r="D16">
        <v>143</v>
      </c>
      <c r="E16">
        <v>121</v>
      </c>
      <c r="F16">
        <v>91</v>
      </c>
      <c r="G16">
        <v>71</v>
      </c>
      <c r="H16">
        <v>53</v>
      </c>
      <c r="I16">
        <v>45</v>
      </c>
      <c r="J16">
        <v>34.5</v>
      </c>
      <c r="K16">
        <v>26</v>
      </c>
      <c r="L16">
        <v>22</v>
      </c>
      <c r="M16">
        <v>18.5</v>
      </c>
    </row>
    <row r="17" spans="1:13" x14ac:dyDescent="0.2">
      <c r="A17">
        <v>3000</v>
      </c>
      <c r="B17">
        <v>230</v>
      </c>
      <c r="C17">
        <v>170</v>
      </c>
      <c r="D17">
        <v>140</v>
      </c>
      <c r="E17">
        <v>120</v>
      </c>
      <c r="F17">
        <v>90</v>
      </c>
      <c r="G17">
        <v>70</v>
      </c>
      <c r="H17">
        <v>52.5</v>
      </c>
      <c r="I17">
        <v>44.5</v>
      </c>
      <c r="J17">
        <v>34</v>
      </c>
      <c r="K17">
        <v>26</v>
      </c>
      <c r="L17">
        <v>21.5</v>
      </c>
      <c r="M17">
        <v>18</v>
      </c>
    </row>
    <row r="18" spans="1:13" x14ac:dyDescent="0.2">
      <c r="A18">
        <v>3600</v>
      </c>
      <c r="B18">
        <v>230</v>
      </c>
      <c r="C18">
        <v>170</v>
      </c>
      <c r="D18">
        <v>140</v>
      </c>
      <c r="E18">
        <v>118</v>
      </c>
      <c r="F18">
        <v>89</v>
      </c>
      <c r="G18">
        <v>67</v>
      </c>
      <c r="H18">
        <v>52</v>
      </c>
      <c r="I18">
        <v>44</v>
      </c>
      <c r="J18">
        <v>34</v>
      </c>
      <c r="K18">
        <v>26</v>
      </c>
      <c r="L18">
        <v>21.5</v>
      </c>
      <c r="M18">
        <v>17.5</v>
      </c>
    </row>
    <row r="19" spans="1:13" x14ac:dyDescent="0.2">
      <c r="A19">
        <v>5400</v>
      </c>
      <c r="B19">
        <v>228</v>
      </c>
      <c r="C19">
        <v>167</v>
      </c>
      <c r="D19">
        <v>138</v>
      </c>
      <c r="E19">
        <v>115</v>
      </c>
      <c r="F19">
        <v>85</v>
      </c>
      <c r="G19">
        <v>66</v>
      </c>
      <c r="H19">
        <v>51</v>
      </c>
      <c r="I19">
        <v>43.5</v>
      </c>
      <c r="J19">
        <v>33.5</v>
      </c>
      <c r="K19">
        <v>25</v>
      </c>
      <c r="L19">
        <v>21</v>
      </c>
      <c r="M19">
        <v>17</v>
      </c>
    </row>
    <row r="20" spans="1:13" x14ac:dyDescent="0.2">
      <c r="A20">
        <v>7200</v>
      </c>
      <c r="B20">
        <v>225</v>
      </c>
      <c r="C20">
        <v>165</v>
      </c>
      <c r="D20">
        <v>135</v>
      </c>
      <c r="E20">
        <v>113</v>
      </c>
      <c r="F20">
        <v>84</v>
      </c>
      <c r="G20">
        <v>65</v>
      </c>
      <c r="H20">
        <v>50</v>
      </c>
      <c r="I20">
        <v>43</v>
      </c>
      <c r="J20">
        <v>33</v>
      </c>
      <c r="K20">
        <v>24.5</v>
      </c>
      <c r="L20">
        <v>20.5</v>
      </c>
      <c r="M20">
        <v>16.5</v>
      </c>
    </row>
    <row r="21" spans="1:13" x14ac:dyDescent="0.2">
      <c r="A21">
        <v>9000</v>
      </c>
      <c r="B21">
        <v>220</v>
      </c>
      <c r="C21">
        <v>160</v>
      </c>
      <c r="D21">
        <v>133</v>
      </c>
      <c r="E21">
        <v>110</v>
      </c>
      <c r="F21">
        <v>83</v>
      </c>
      <c r="G21">
        <v>64</v>
      </c>
      <c r="H21">
        <v>50</v>
      </c>
      <c r="I21">
        <v>42</v>
      </c>
      <c r="J21">
        <v>32</v>
      </c>
      <c r="K21">
        <v>24</v>
      </c>
      <c r="L21">
        <v>20</v>
      </c>
      <c r="M21">
        <v>16</v>
      </c>
    </row>
    <row r="23" spans="1:13" x14ac:dyDescent="0.2">
      <c r="A23">
        <f>USV!J22*60</f>
        <v>900</v>
      </c>
      <c r="B23" s="3">
        <f ca="1">(OFFSET(B$5,IF($A23&gt;$A$21,0,$A24),0)+OFFSET(B$5,IF($A23&gt;$A$21,0,$A24+1),0))/2</f>
        <v>238.5</v>
      </c>
      <c r="C23" s="3">
        <f t="shared" ref="C23:M23" ca="1" si="0">(OFFSET(C$5,IF($A23&gt;$A$21,0,$A24),0)+OFFSET(C$5,IF($A23&gt;$A$21,0,$A24+1),0))/2</f>
        <v>182.5</v>
      </c>
      <c r="D23" s="3">
        <f t="shared" ca="1" si="0"/>
        <v>147.75</v>
      </c>
      <c r="E23" s="3">
        <f t="shared" ca="1" si="0"/>
        <v>123.5</v>
      </c>
      <c r="F23" s="3">
        <f t="shared" ca="1" si="0"/>
        <v>93.75</v>
      </c>
      <c r="G23" s="3">
        <f t="shared" ca="1" si="0"/>
        <v>72.75</v>
      </c>
      <c r="H23" s="3">
        <f t="shared" ca="1" si="0"/>
        <v>54.75</v>
      </c>
      <c r="I23" s="3">
        <f t="shared" ca="1" si="0"/>
        <v>47.5</v>
      </c>
      <c r="J23" s="3">
        <f t="shared" ca="1" si="0"/>
        <v>36.25</v>
      </c>
      <c r="K23" s="3">
        <f t="shared" ca="1" si="0"/>
        <v>28.5</v>
      </c>
      <c r="L23" s="3">
        <f t="shared" ca="1" si="0"/>
        <v>22</v>
      </c>
      <c r="M23" s="3">
        <f t="shared" ca="1" si="0"/>
        <v>19.25</v>
      </c>
    </row>
    <row r="24" spans="1:13" x14ac:dyDescent="0.2">
      <c r="A24" s="2">
        <f>MATCH($A23,$A$6:$A$21,1)</f>
        <v>8</v>
      </c>
      <c r="B24" s="3">
        <f ca="1">B23*IF($A23&gt;$A$21,1,0.85)</f>
        <v>202.72499999999999</v>
      </c>
      <c r="C24" s="3">
        <f t="shared" ref="C24:M24" ca="1" si="1">C23*IF($A23&gt;$A$21,1,0.85)</f>
        <v>155.125</v>
      </c>
      <c r="D24" s="3">
        <f t="shared" ca="1" si="1"/>
        <v>125.58749999999999</v>
      </c>
      <c r="E24" s="3">
        <f t="shared" ca="1" si="1"/>
        <v>104.97499999999999</v>
      </c>
      <c r="F24" s="3">
        <f t="shared" ca="1" si="1"/>
        <v>79.6875</v>
      </c>
      <c r="G24" s="3">
        <f t="shared" ca="1" si="1"/>
        <v>61.837499999999999</v>
      </c>
      <c r="H24" s="3">
        <f t="shared" ca="1" si="1"/>
        <v>46.537500000000001</v>
      </c>
      <c r="I24" s="3">
        <f t="shared" ca="1" si="1"/>
        <v>40.375</v>
      </c>
      <c r="J24" s="3">
        <f t="shared" ca="1" si="1"/>
        <v>30.8125</v>
      </c>
      <c r="K24" s="3">
        <f t="shared" ca="1" si="1"/>
        <v>24.224999999999998</v>
      </c>
      <c r="L24" s="3">
        <f t="shared" ca="1" si="1"/>
        <v>18.7</v>
      </c>
      <c r="M24" s="3">
        <f t="shared" ca="1" si="1"/>
        <v>16.362500000000001</v>
      </c>
    </row>
    <row r="26" spans="1:13" x14ac:dyDescent="0.2">
      <c r="A26">
        <f>USV!M24*60</f>
        <v>600</v>
      </c>
      <c r="B26" s="3">
        <f ca="1">(OFFSET(B$5,IF($A26&gt;$A$21,0,$A27),0)+OFFSET(B$5,IF($A26&gt;$A$21,0,$A27+1),0))/2</f>
        <v>242.5</v>
      </c>
      <c r="C26" s="3">
        <f t="shared" ref="C26" ca="1" si="2">(OFFSET(C$5,IF($A26&gt;$A$21,0,$A27),0)+OFFSET(C$5,IF($A26&gt;$A$21,0,$A27+1),0))/2</f>
        <v>187.5</v>
      </c>
      <c r="D26" s="3">
        <f t="shared" ref="D26" ca="1" si="3">(OFFSET(D$5,IF($A26&gt;$A$21,0,$A27),0)+OFFSET(D$5,IF($A26&gt;$A$21,0,$A27+1),0))/2</f>
        <v>149.25</v>
      </c>
      <c r="E26" s="3">
        <f t="shared" ref="E26" ca="1" si="4">(OFFSET(E$5,IF($A26&gt;$A$21,0,$A27),0)+OFFSET(E$5,IF($A26&gt;$A$21,0,$A27+1),0))/2</f>
        <v>124.5</v>
      </c>
      <c r="F26" s="3">
        <f t="shared" ref="F26" ca="1" si="5">(OFFSET(F$5,IF($A26&gt;$A$21,0,$A27),0)+OFFSET(F$5,IF($A26&gt;$A$21,0,$A27+1),0))/2</f>
        <v>95.25</v>
      </c>
      <c r="G26" s="3">
        <f t="shared" ref="G26" ca="1" si="6">(OFFSET(G$5,IF($A26&gt;$A$21,0,$A27),0)+OFFSET(G$5,IF($A26&gt;$A$21,0,$A27+1),0))/2</f>
        <v>73.5</v>
      </c>
      <c r="H26" s="3">
        <f t="shared" ref="H26" ca="1" si="7">(OFFSET(H$5,IF($A26&gt;$A$21,0,$A27),0)+OFFSET(H$5,IF($A26&gt;$A$21,0,$A27+1),0))/2</f>
        <v>56.25</v>
      </c>
      <c r="I26" s="3">
        <f t="shared" ref="I26" ca="1" si="8">(OFFSET(I$5,IF($A26&gt;$A$21,0,$A27),0)+OFFSET(I$5,IF($A26&gt;$A$21,0,$A27+1),0))/2</f>
        <v>48.75</v>
      </c>
      <c r="J26" s="3">
        <f t="shared" ref="J26" ca="1" si="9">(OFFSET(J$5,IF($A26&gt;$A$21,0,$A27),0)+OFFSET(J$5,IF($A26&gt;$A$21,0,$A27+1),0))/2</f>
        <v>37.5</v>
      </c>
      <c r="K26" s="3">
        <f t="shared" ref="K26" ca="1" si="10">(OFFSET(K$5,IF($A26&gt;$A$21,0,$A27),0)+OFFSET(K$5,IF($A26&gt;$A$21,0,$A27+1),0))/2</f>
        <v>29.25</v>
      </c>
      <c r="L26" s="3">
        <f t="shared" ref="L26" ca="1" si="11">(OFFSET(L$5,IF($A26&gt;$A$21,0,$A27),0)+OFFSET(L$5,IF($A26&gt;$A$21,0,$A27+1),0))/2</f>
        <v>22.25</v>
      </c>
      <c r="M26" s="3">
        <f t="shared" ref="M26" ca="1" si="12">(OFFSET(M$5,IF($A26&gt;$A$21,0,$A27),0)+OFFSET(M$5,IF($A26&gt;$A$21,0,$A27+1),0))/2</f>
        <v>19.75</v>
      </c>
    </row>
    <row r="27" spans="1:13" x14ac:dyDescent="0.2">
      <c r="A27" s="2">
        <f>MATCH($A26,$A$6:$A$21,1)</f>
        <v>7</v>
      </c>
      <c r="B27" s="3">
        <f ca="1">B26*IF($A26&gt;$A$21,1,0.85)</f>
        <v>206.125</v>
      </c>
      <c r="C27" s="3">
        <f t="shared" ref="C27" ca="1" si="13">C26*IF($A26&gt;$A$21,1,0.85)</f>
        <v>159.375</v>
      </c>
      <c r="D27" s="3">
        <f t="shared" ref="D27" ca="1" si="14">D26*IF($A26&gt;$A$21,1,0.85)</f>
        <v>126.8625</v>
      </c>
      <c r="E27" s="3">
        <f t="shared" ref="E27" ca="1" si="15">E26*IF($A26&gt;$A$21,1,0.85)</f>
        <v>105.825</v>
      </c>
      <c r="F27" s="3">
        <f t="shared" ref="F27" ca="1" si="16">F26*IF($A26&gt;$A$21,1,0.85)</f>
        <v>80.962499999999991</v>
      </c>
      <c r="G27" s="3">
        <f t="shared" ref="G27" ca="1" si="17">G26*IF($A26&gt;$A$21,1,0.85)</f>
        <v>62.475000000000001</v>
      </c>
      <c r="H27" s="3">
        <f t="shared" ref="H27" ca="1" si="18">H26*IF($A26&gt;$A$21,1,0.85)</f>
        <v>47.8125</v>
      </c>
      <c r="I27" s="3">
        <f t="shared" ref="I27" ca="1" si="19">I26*IF($A26&gt;$A$21,1,0.85)</f>
        <v>41.4375</v>
      </c>
      <c r="J27" s="3">
        <f t="shared" ref="J27" ca="1" si="20">J26*IF($A26&gt;$A$21,1,0.85)</f>
        <v>31.875</v>
      </c>
      <c r="K27" s="3">
        <f t="shared" ref="K27" ca="1" si="21">K26*IF($A26&gt;$A$21,1,0.85)</f>
        <v>24.862500000000001</v>
      </c>
      <c r="L27" s="3">
        <f t="shared" ref="L27" ca="1" si="22">L26*IF($A26&gt;$A$21,1,0.85)</f>
        <v>18.912499999999998</v>
      </c>
      <c r="M27" s="3">
        <f t="shared" ref="M27" ca="1" si="23">M26*IF($A26&gt;$A$21,1,0.85)</f>
        <v>16.787499999999998</v>
      </c>
    </row>
    <row r="29" spans="1:13" x14ac:dyDescent="0.2">
      <c r="A29">
        <f>USV!O24*60</f>
        <v>60</v>
      </c>
      <c r="B29" s="3">
        <f ca="1">(OFFSET(B$5,IF($A29&gt;$A$21,0,$A30),0)+OFFSET(B$5,IF($A29&gt;$A$21,0,$A30+1),0))/2</f>
        <v>302.5</v>
      </c>
      <c r="C29" s="3">
        <f t="shared" ref="C29" ca="1" si="24">(OFFSET(C$5,IF($A29&gt;$A$21,0,$A30),0)+OFFSET(C$5,IF($A29&gt;$A$21,0,$A30+1),0))/2</f>
        <v>222.5</v>
      </c>
      <c r="D29" s="3">
        <f t="shared" ref="D29" ca="1" si="25">(OFFSET(D$5,IF($A29&gt;$A$21,0,$A30),0)+OFFSET(D$5,IF($A29&gt;$A$21,0,$A30+1),0))/2</f>
        <v>190</v>
      </c>
      <c r="E29" s="3">
        <f t="shared" ref="E29" ca="1" si="26">(OFFSET(E$5,IF($A29&gt;$A$21,0,$A30),0)+OFFSET(E$5,IF($A29&gt;$A$21,0,$A30+1),0))/2</f>
        <v>142</v>
      </c>
      <c r="F29" s="3">
        <f t="shared" ref="F29" ca="1" si="27">(OFFSET(F$5,IF($A29&gt;$A$21,0,$A30),0)+OFFSET(F$5,IF($A29&gt;$A$21,0,$A30+1),0))/2</f>
        <v>115</v>
      </c>
      <c r="G29" s="3">
        <f t="shared" ref="G29" ca="1" si="28">(OFFSET(G$5,IF($A29&gt;$A$21,0,$A30),0)+OFFSET(G$5,IF($A29&gt;$A$21,0,$A30+1),0))/2</f>
        <v>89</v>
      </c>
      <c r="H29" s="3">
        <f t="shared" ref="H29" ca="1" si="29">(OFFSET(H$5,IF($A29&gt;$A$21,0,$A30),0)+OFFSET(H$5,IF($A29&gt;$A$21,0,$A30+1),0))/2</f>
        <v>67.5</v>
      </c>
      <c r="I29" s="3">
        <f t="shared" ref="I29" ca="1" si="30">(OFFSET(I$5,IF($A29&gt;$A$21,0,$A30),0)+OFFSET(I$5,IF($A29&gt;$A$21,0,$A30+1),0))/2</f>
        <v>58</v>
      </c>
      <c r="J29" s="3">
        <f t="shared" ref="J29" ca="1" si="31">(OFFSET(J$5,IF($A29&gt;$A$21,0,$A30),0)+OFFSET(J$5,IF($A29&gt;$A$21,0,$A30+1),0))/2</f>
        <v>43.75</v>
      </c>
      <c r="K29" s="3">
        <f t="shared" ref="K29" ca="1" si="32">(OFFSET(K$5,IF($A29&gt;$A$21,0,$A30),0)+OFFSET(K$5,IF($A29&gt;$A$21,0,$A30+1),0))/2</f>
        <v>33.25</v>
      </c>
      <c r="L29" s="3">
        <f t="shared" ref="L29" ca="1" si="33">(OFFSET(L$5,IF($A29&gt;$A$21,0,$A30),0)+OFFSET(L$5,IF($A29&gt;$A$21,0,$A30+1),0))/2</f>
        <v>26.25</v>
      </c>
      <c r="M29" s="3">
        <f t="shared" ref="M29" ca="1" si="34">(OFFSET(M$5,IF($A29&gt;$A$21,0,$A30),0)+OFFSET(M$5,IF($A29&gt;$A$21,0,$A30+1),0))/2</f>
        <v>22.5</v>
      </c>
    </row>
    <row r="30" spans="1:13" x14ac:dyDescent="0.2">
      <c r="A30" s="2">
        <f>MATCH($A29,$A$6:$A$21,1)</f>
        <v>2</v>
      </c>
      <c r="B30" s="3">
        <f ca="1">B29*IF($A29&gt;$A$21,1,0.85)</f>
        <v>257.125</v>
      </c>
      <c r="C30" s="3">
        <f t="shared" ref="C30" ca="1" si="35">C29*IF($A29&gt;$A$21,1,0.85)</f>
        <v>189.125</v>
      </c>
      <c r="D30" s="3">
        <f t="shared" ref="D30" ca="1" si="36">D29*IF($A29&gt;$A$21,1,0.85)</f>
        <v>161.5</v>
      </c>
      <c r="E30" s="3">
        <f t="shared" ref="E30" ca="1" si="37">E29*IF($A29&gt;$A$21,1,0.85)</f>
        <v>120.7</v>
      </c>
      <c r="F30" s="3">
        <f t="shared" ref="F30" ca="1" si="38">F29*IF($A29&gt;$A$21,1,0.85)</f>
        <v>97.75</v>
      </c>
      <c r="G30" s="3">
        <f t="shared" ref="G30" ca="1" si="39">G29*IF($A29&gt;$A$21,1,0.85)</f>
        <v>75.649999999999991</v>
      </c>
      <c r="H30" s="3">
        <f t="shared" ref="H30" ca="1" si="40">H29*IF($A29&gt;$A$21,1,0.85)</f>
        <v>57.375</v>
      </c>
      <c r="I30" s="3">
        <f t="shared" ref="I30" ca="1" si="41">I29*IF($A29&gt;$A$21,1,0.85)</f>
        <v>49.3</v>
      </c>
      <c r="J30" s="3">
        <f t="shared" ref="J30" ca="1" si="42">J29*IF($A29&gt;$A$21,1,0.85)</f>
        <v>37.1875</v>
      </c>
      <c r="K30" s="3">
        <f t="shared" ref="K30" ca="1" si="43">K29*IF($A29&gt;$A$21,1,0.85)</f>
        <v>28.262499999999999</v>
      </c>
      <c r="L30" s="3">
        <f t="shared" ref="L30" ca="1" si="44">L29*IF($A29&gt;$A$21,1,0.85)</f>
        <v>22.3125</v>
      </c>
      <c r="M30" s="3">
        <f t="shared" ref="M30" ca="1" si="45">M29*IF($A29&gt;$A$21,1,0.85)</f>
        <v>19.125</v>
      </c>
    </row>
  </sheetData>
  <phoneticPr fontId="0" type="noConversion"/>
  <pageMargins left="0.78740157499999996" right="0.78740157499999996" top="0.984251969" bottom="0.984251969"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USV</vt:lpstr>
      <vt:lpstr>Hilfe</vt:lpstr>
      <vt:lpstr>Help</vt:lpstr>
      <vt:lpstr>Übersetzung</vt:lpstr>
      <vt:lpstr>Release Notes</vt:lpstr>
      <vt:lpstr>Berechnung</vt:lpstr>
      <vt:lpstr>NH00C-500V</vt:lpstr>
      <vt:lpstr>NH1-4a-500V</vt:lpstr>
      <vt:lpstr>NH00C-690V</vt:lpstr>
      <vt:lpstr>NH1-3-690V</vt:lpstr>
      <vt:lpstr>SE-500V</vt:lpstr>
      <vt:lpstr>SE-690V</vt:lpstr>
      <vt:lpstr>SE-DC700V</vt:lpstr>
      <vt:lpstr>SE-DC800V</vt:lpstr>
      <vt:lpstr>KETO</vt:lpstr>
      <vt:lpstr>'NH1-3-690V'!Druckbereich</vt:lpstr>
      <vt:lpstr>USV!Druckbereich</vt:lpstr>
      <vt:lpstr>Sprachen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Wahl;PM Beikler Steffen</dc:creator>
  <cp:lastModifiedBy>PM Beikler Steffen</cp:lastModifiedBy>
  <cp:lastPrinted>2015-03-04T15:24:55Z</cp:lastPrinted>
  <dcterms:created xsi:type="dcterms:W3CDTF">2010-08-02T11:46:38Z</dcterms:created>
  <dcterms:modified xsi:type="dcterms:W3CDTF">2022-01-12T13:51:35Z</dcterms:modified>
</cp:coreProperties>
</file>